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2"/>
  <workbookPr codeName="ThisWorkbook" defaultThemeVersion="166925"/>
  <mc:AlternateContent xmlns:mc="http://schemas.openxmlformats.org/markup-compatibility/2006">
    <mc:Choice Requires="x15">
      <x15ac:absPath xmlns:x15ac="http://schemas.microsoft.com/office/spreadsheetml/2010/11/ac" url="/Volumes/TDQ DRIVE/PROJETS/OUTILS GRATUITS/FINAL V3_3JUIN 2024/"/>
    </mc:Choice>
  </mc:AlternateContent>
  <xr:revisionPtr revIDLastSave="0" documentId="8_{0B7B1AD8-994E-B646-A1BC-FE7E714A5935}" xr6:coauthVersionLast="47" xr6:coauthVersionMax="47" xr10:uidLastSave="{00000000-0000-0000-0000-000000000000}"/>
  <bookViews>
    <workbookView xWindow="0" yWindow="700" windowWidth="38400" windowHeight="19400" xr2:uid="{80080339-6EFA-064D-A81F-3B0AFAECECC0}"/>
  </bookViews>
  <sheets>
    <sheet name="Introduction" sheetId="7" r:id="rId1"/>
    <sheet name="Identifiez-vous" sheetId="8" r:id="rId2"/>
    <sheet name="Sommaires des émissions" sheetId="9" r:id="rId3"/>
    <sheet name="Calculateur Général" sheetId="10" r:id="rId4"/>
    <sheet name="Calculateur Plein Air" sheetId="11" r:id="rId5"/>
    <sheet name="Calculateur Restaurant" sheetId="12" r:id="rId6"/>
    <sheet name="Calculateur hébergement" sheetId="13" r:id="rId7"/>
    <sheet name="Références" sheetId="6" r:id="rId8"/>
  </sheets>
  <definedNames>
    <definedName name="matrix_refri">Références!$A$22:$C$69</definedName>
    <definedName name="Matrix_véhicule">Références!$A$86:$D$100</definedName>
    <definedName name="Refrigerant">Références!$A$22:$A$69</definedName>
    <definedName name="Véhicule">Références!$A$86:$A$100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 i="10" l="1"/>
  <c r="H23" i="10"/>
  <c r="H22" i="10"/>
  <c r="H21" i="10"/>
  <c r="H20" i="10"/>
  <c r="H17" i="10"/>
  <c r="H16" i="10"/>
  <c r="H37" i="10"/>
  <c r="H36" i="10"/>
  <c r="AJ50" i="10" l="1"/>
  <c r="AJ51" i="10"/>
  <c r="AJ52" i="10"/>
  <c r="AJ49" i="10"/>
  <c r="AJ46" i="10"/>
  <c r="AJ47" i="10"/>
  <c r="AJ48" i="10"/>
  <c r="AJ45" i="10"/>
  <c r="AJ44" i="10"/>
  <c r="AJ41" i="10"/>
  <c r="AJ42" i="10"/>
  <c r="AJ43" i="10"/>
  <c r="AJ40" i="10"/>
  <c r="AF47" i="10"/>
  <c r="AF46" i="10"/>
  <c r="AF45" i="10"/>
  <c r="AF44" i="10"/>
  <c r="AF53" i="10"/>
  <c r="C90" i="6"/>
  <c r="H20" i="13"/>
  <c r="H4" i="13"/>
  <c r="H5" i="13"/>
  <c r="H6" i="13"/>
  <c r="H7" i="13"/>
  <c r="H8" i="13"/>
  <c r="H9" i="13"/>
  <c r="H10" i="13"/>
  <c r="H11" i="13"/>
  <c r="H12" i="13"/>
  <c r="H13" i="13"/>
  <c r="H14" i="13"/>
  <c r="H15" i="13"/>
  <c r="H16" i="13"/>
  <c r="H17" i="13"/>
  <c r="H18" i="13"/>
  <c r="H19" i="13"/>
  <c r="H3" i="13"/>
  <c r="H52" i="12"/>
  <c r="H51" i="12"/>
  <c r="H47" i="12"/>
  <c r="H48" i="12"/>
  <c r="H49" i="12"/>
  <c r="H50" i="12"/>
  <c r="H46" i="12"/>
  <c r="H4" i="12"/>
  <c r="H5" i="12"/>
  <c r="H6" i="12"/>
  <c r="H7" i="12"/>
  <c r="H8" i="12"/>
  <c r="H9" i="12"/>
  <c r="H10" i="12"/>
  <c r="H11" i="12"/>
  <c r="H12" i="12"/>
  <c r="H3" i="12"/>
  <c r="H4" i="11"/>
  <c r="H5" i="11"/>
  <c r="H6" i="11"/>
  <c r="H7" i="11"/>
  <c r="H8" i="11"/>
  <c r="H9" i="11"/>
  <c r="H10" i="11"/>
  <c r="H11" i="11"/>
  <c r="H12" i="11"/>
  <c r="H13" i="11"/>
  <c r="H14" i="11"/>
  <c r="H15" i="11"/>
  <c r="H16" i="11"/>
  <c r="H17" i="11"/>
  <c r="H18" i="11"/>
  <c r="H19" i="11"/>
  <c r="H3" i="11"/>
  <c r="M36" i="10"/>
  <c r="M35" i="10"/>
  <c r="M34" i="10"/>
  <c r="H102" i="10"/>
  <c r="H103" i="10"/>
  <c r="H104" i="10"/>
  <c r="H105" i="10"/>
  <c r="H101" i="10"/>
  <c r="H97" i="10"/>
  <c r="G29" i="9" s="1"/>
  <c r="H96" i="10"/>
  <c r="H87" i="10"/>
  <c r="H88" i="10"/>
  <c r="H89" i="10"/>
  <c r="H90" i="10"/>
  <c r="H91" i="10"/>
  <c r="H92" i="10"/>
  <c r="H93" i="10"/>
  <c r="H94" i="10"/>
  <c r="H86" i="10"/>
  <c r="H72" i="10"/>
  <c r="H73" i="10"/>
  <c r="H74" i="10"/>
  <c r="H75" i="10"/>
  <c r="H76" i="10"/>
  <c r="H77" i="10"/>
  <c r="H78" i="10"/>
  <c r="H79" i="10"/>
  <c r="H80" i="10"/>
  <c r="G27" i="9" s="1"/>
  <c r="H81" i="10"/>
  <c r="H82" i="10"/>
  <c r="H83" i="10"/>
  <c r="H84" i="10"/>
  <c r="H71" i="10"/>
  <c r="H69" i="10"/>
  <c r="H67" i="10"/>
  <c r="H68" i="10"/>
  <c r="H66" i="10"/>
  <c r="H64" i="10"/>
  <c r="H65" i="10"/>
  <c r="H63" i="10"/>
  <c r="H62" i="10"/>
  <c r="H56" i="10"/>
  <c r="H55" i="10"/>
  <c r="H52" i="10"/>
  <c r="H51" i="10"/>
  <c r="G24" i="9" s="1"/>
  <c r="H50" i="10"/>
  <c r="H47" i="10"/>
  <c r="H46" i="10"/>
  <c r="H45" i="10"/>
  <c r="H44" i="10"/>
  <c r="G18" i="10"/>
  <c r="G15" i="10"/>
  <c r="G14" i="10"/>
  <c r="G13" i="10"/>
  <c r="F18" i="10"/>
  <c r="F15" i="10"/>
  <c r="F14" i="10"/>
  <c r="F13" i="10"/>
  <c r="E18" i="10"/>
  <c r="E15" i="10"/>
  <c r="E14" i="10"/>
  <c r="E13" i="10"/>
  <c r="G11" i="10"/>
  <c r="G10" i="10"/>
  <c r="G9" i="10"/>
  <c r="G8" i="10"/>
  <c r="G7" i="10"/>
  <c r="G6" i="10"/>
  <c r="G5" i="10"/>
  <c r="F11" i="10"/>
  <c r="F10" i="10"/>
  <c r="F9" i="10"/>
  <c r="F8" i="10"/>
  <c r="F7" i="10"/>
  <c r="F6" i="10"/>
  <c r="F5" i="10"/>
  <c r="E11" i="10"/>
  <c r="E10" i="10"/>
  <c r="E9" i="10"/>
  <c r="E8" i="10"/>
  <c r="E7" i="10"/>
  <c r="E6" i="10"/>
  <c r="E5" i="10"/>
  <c r="G30" i="9"/>
  <c r="G28" i="9"/>
  <c r="G26" i="9"/>
  <c r="G23" i="9"/>
  <c r="G14" i="9"/>
  <c r="G10" i="9"/>
  <c r="G25" i="9" l="1"/>
  <c r="G39" i="9"/>
  <c r="G33" i="9"/>
  <c r="H79" i="12" l="1"/>
  <c r="H78" i="12"/>
  <c r="H77" i="12"/>
  <c r="H74" i="12"/>
  <c r="H73" i="12"/>
  <c r="H72" i="12"/>
  <c r="H71" i="12"/>
  <c r="H70" i="12"/>
  <c r="H69" i="12"/>
  <c r="H68" i="12"/>
  <c r="H67" i="12"/>
  <c r="H64" i="12"/>
  <c r="H63" i="12"/>
  <c r="H62" i="12"/>
  <c r="H61" i="12"/>
  <c r="H60" i="12"/>
  <c r="H59" i="12"/>
  <c r="H58" i="12"/>
  <c r="H57" i="12"/>
  <c r="H56" i="12"/>
  <c r="H55" i="12"/>
  <c r="H43" i="12"/>
  <c r="H42" i="12"/>
  <c r="H41" i="12"/>
  <c r="H40" i="12"/>
  <c r="H39" i="12"/>
  <c r="H38" i="12"/>
  <c r="H37" i="12"/>
  <c r="H36" i="12"/>
  <c r="H35" i="12"/>
  <c r="H34" i="12"/>
  <c r="H33" i="12"/>
  <c r="H32" i="12"/>
  <c r="H31" i="12"/>
  <c r="H28" i="12"/>
  <c r="H27" i="12"/>
  <c r="H26" i="12"/>
  <c r="H25" i="12"/>
  <c r="H24" i="12"/>
  <c r="H23" i="12"/>
  <c r="H22" i="12"/>
  <c r="H21" i="12"/>
  <c r="H20" i="12"/>
  <c r="H19" i="12"/>
  <c r="H18" i="12"/>
  <c r="H17" i="12"/>
  <c r="R194" i="10"/>
  <c r="N194" i="10"/>
  <c r="Q194" i="10" s="1"/>
  <c r="R193" i="10"/>
  <c r="N193" i="10"/>
  <c r="Q193" i="10" s="1"/>
  <c r="R192" i="10"/>
  <c r="N192" i="10"/>
  <c r="Q192" i="10" s="1"/>
  <c r="R191" i="10"/>
  <c r="N191" i="10"/>
  <c r="Q191" i="10" s="1"/>
  <c r="AB190" i="10"/>
  <c r="X190" i="10"/>
  <c r="AA190" i="10" s="1"/>
  <c r="R190" i="10"/>
  <c r="N190" i="10"/>
  <c r="Q190" i="10" s="1"/>
  <c r="AB189" i="10"/>
  <c r="X189" i="10"/>
  <c r="AA189" i="10" s="1"/>
  <c r="R189" i="10"/>
  <c r="N189" i="10"/>
  <c r="Q189" i="10" s="1"/>
  <c r="AB188" i="10"/>
  <c r="X188" i="10"/>
  <c r="AA188" i="10" s="1"/>
  <c r="R188" i="10"/>
  <c r="N188" i="10"/>
  <c r="Q188" i="10" s="1"/>
  <c r="AB187" i="10"/>
  <c r="X187" i="10"/>
  <c r="AA187" i="10" s="1"/>
  <c r="R187" i="10"/>
  <c r="Q187" i="10"/>
  <c r="N187" i="10"/>
  <c r="AB186" i="10"/>
  <c r="X186" i="10"/>
  <c r="AA186" i="10" s="1"/>
  <c r="R186" i="10"/>
  <c r="N186" i="10"/>
  <c r="Q186" i="10" s="1"/>
  <c r="AB185" i="10"/>
  <c r="X185" i="10"/>
  <c r="AA185" i="10" s="1"/>
  <c r="R185" i="10"/>
  <c r="Q185" i="10"/>
  <c r="N185" i="10"/>
  <c r="AB184" i="10"/>
  <c r="X184" i="10"/>
  <c r="AA184" i="10" s="1"/>
  <c r="R184" i="10"/>
  <c r="N184" i="10"/>
  <c r="Q184" i="10" s="1"/>
  <c r="AB183" i="10"/>
  <c r="X183" i="10"/>
  <c r="AA183" i="10" s="1"/>
  <c r="R183" i="10"/>
  <c r="N183" i="10"/>
  <c r="Q183" i="10" s="1"/>
  <c r="AB182" i="10"/>
  <c r="X182" i="10"/>
  <c r="AA182" i="10" s="1"/>
  <c r="R182" i="10"/>
  <c r="N182" i="10"/>
  <c r="Q182" i="10" s="1"/>
  <c r="AB181" i="10"/>
  <c r="X181" i="10"/>
  <c r="AA181" i="10" s="1"/>
  <c r="R181" i="10"/>
  <c r="N181" i="10"/>
  <c r="Q181" i="10" s="1"/>
  <c r="AB180" i="10"/>
  <c r="X180" i="10"/>
  <c r="AA180" i="10" s="1"/>
  <c r="R180" i="10"/>
  <c r="N180" i="10"/>
  <c r="Q180" i="10" s="1"/>
  <c r="AB179" i="10"/>
  <c r="X179" i="10"/>
  <c r="AA179" i="10" s="1"/>
  <c r="R179" i="10"/>
  <c r="N179" i="10"/>
  <c r="Q179" i="10" s="1"/>
  <c r="AB178" i="10"/>
  <c r="X178" i="10"/>
  <c r="AA178" i="10" s="1"/>
  <c r="R178" i="10"/>
  <c r="N178" i="10"/>
  <c r="Q178" i="10" s="1"/>
  <c r="AB177" i="10"/>
  <c r="X177" i="10"/>
  <c r="AA177" i="10" s="1"/>
  <c r="R177" i="10"/>
  <c r="N177" i="10"/>
  <c r="Q177" i="10" s="1"/>
  <c r="AB176" i="10"/>
  <c r="X176" i="10"/>
  <c r="AA176" i="10" s="1"/>
  <c r="R176" i="10"/>
  <c r="N176" i="10"/>
  <c r="Q176" i="10" s="1"/>
  <c r="AB175" i="10"/>
  <c r="X175" i="10"/>
  <c r="AA175" i="10" s="1"/>
  <c r="R175" i="10"/>
  <c r="N175" i="10"/>
  <c r="Q175" i="10" s="1"/>
  <c r="AB174" i="10"/>
  <c r="X174" i="10"/>
  <c r="AA174" i="10" s="1"/>
  <c r="R174" i="10"/>
  <c r="N174" i="10"/>
  <c r="Q174" i="10" s="1"/>
  <c r="AB173" i="10"/>
  <c r="X173" i="10"/>
  <c r="AA173" i="10" s="1"/>
  <c r="R173" i="10"/>
  <c r="N173" i="10"/>
  <c r="Q173" i="10" s="1"/>
  <c r="AB172" i="10"/>
  <c r="X172" i="10"/>
  <c r="AA172" i="10" s="1"/>
  <c r="R172" i="10"/>
  <c r="Q172" i="10"/>
  <c r="N172" i="10"/>
  <c r="AB171" i="10"/>
  <c r="AA171" i="10"/>
  <c r="X171" i="10"/>
  <c r="R171" i="10"/>
  <c r="N171" i="10"/>
  <c r="Q171" i="10" s="1"/>
  <c r="AB170" i="10"/>
  <c r="X170" i="10"/>
  <c r="AA170" i="10" s="1"/>
  <c r="R170" i="10"/>
  <c r="Q170" i="10"/>
  <c r="N170" i="10"/>
  <c r="AB169" i="10"/>
  <c r="AA169" i="10"/>
  <c r="X169" i="10"/>
  <c r="R169" i="10"/>
  <c r="N169" i="10"/>
  <c r="Q169" i="10" s="1"/>
  <c r="AB168" i="10"/>
  <c r="X168" i="10"/>
  <c r="AA168" i="10" s="1"/>
  <c r="R168" i="10"/>
  <c r="N168" i="10"/>
  <c r="Q168" i="10" s="1"/>
  <c r="AB167" i="10"/>
  <c r="X167" i="10"/>
  <c r="AA167" i="10" s="1"/>
  <c r="R167" i="10"/>
  <c r="Q167" i="10"/>
  <c r="N167" i="10"/>
  <c r="AB166" i="10"/>
  <c r="X166" i="10"/>
  <c r="AA166" i="10" s="1"/>
  <c r="R166" i="10"/>
  <c r="N166" i="10"/>
  <c r="Q166" i="10" s="1"/>
  <c r="AB165" i="10"/>
  <c r="X165" i="10"/>
  <c r="AA165" i="10" s="1"/>
  <c r="R165" i="10"/>
  <c r="Q165" i="10"/>
  <c r="N165" i="10"/>
  <c r="AB164" i="10"/>
  <c r="X164" i="10"/>
  <c r="AA164" i="10" s="1"/>
  <c r="R164" i="10"/>
  <c r="N164" i="10"/>
  <c r="Q164" i="10" s="1"/>
  <c r="AB163" i="10"/>
  <c r="X163" i="10"/>
  <c r="AA163" i="10" s="1"/>
  <c r="R163" i="10"/>
  <c r="N163" i="10"/>
  <c r="Q163" i="10" s="1"/>
  <c r="AB162" i="10"/>
  <c r="X162" i="10"/>
  <c r="AA162" i="10" s="1"/>
  <c r="R162" i="10"/>
  <c r="Q162" i="10"/>
  <c r="N162" i="10"/>
  <c r="AB161" i="10"/>
  <c r="X161" i="10"/>
  <c r="AA161" i="10" s="1"/>
  <c r="R161" i="10"/>
  <c r="N161" i="10"/>
  <c r="Q161" i="10" s="1"/>
  <c r="AB160" i="10"/>
  <c r="X160" i="10"/>
  <c r="AA160" i="10" s="1"/>
  <c r="R160" i="10"/>
  <c r="Q160" i="10"/>
  <c r="N160" i="10"/>
  <c r="AB159" i="10"/>
  <c r="X159" i="10"/>
  <c r="AA159" i="10" s="1"/>
  <c r="R159" i="10"/>
  <c r="N159" i="10"/>
  <c r="Q159" i="10" s="1"/>
  <c r="AB158" i="10"/>
  <c r="X158" i="10"/>
  <c r="AA158" i="10" s="1"/>
  <c r="R158" i="10"/>
  <c r="N158" i="10"/>
  <c r="Q158" i="10" s="1"/>
  <c r="AB157" i="10"/>
  <c r="X157" i="10"/>
  <c r="AA157" i="10" s="1"/>
  <c r="R157" i="10"/>
  <c r="N157" i="10"/>
  <c r="Q157" i="10" s="1"/>
  <c r="AB156" i="10"/>
  <c r="X156" i="10"/>
  <c r="AA156" i="10" s="1"/>
  <c r="R156" i="10"/>
  <c r="N156" i="10"/>
  <c r="Q156" i="10" s="1"/>
  <c r="AB155" i="10"/>
  <c r="X155" i="10"/>
  <c r="AA155" i="10" s="1"/>
  <c r="R155" i="10"/>
  <c r="N155" i="10"/>
  <c r="Q155" i="10" s="1"/>
  <c r="AB154" i="10"/>
  <c r="X154" i="10"/>
  <c r="AA154" i="10" s="1"/>
  <c r="R154" i="10"/>
  <c r="N154" i="10"/>
  <c r="Q154" i="10" s="1"/>
  <c r="AB153" i="10"/>
  <c r="X153" i="10"/>
  <c r="AA153" i="10" s="1"/>
  <c r="R153" i="10"/>
  <c r="N153" i="10"/>
  <c r="Q153" i="10" s="1"/>
  <c r="AB152" i="10"/>
  <c r="X152" i="10"/>
  <c r="AA152" i="10" s="1"/>
  <c r="R152" i="10"/>
  <c r="N152" i="10"/>
  <c r="Q152" i="10" s="1"/>
  <c r="AB151" i="10"/>
  <c r="X151" i="10"/>
  <c r="AA151" i="10" s="1"/>
  <c r="R151" i="10"/>
  <c r="N151" i="10"/>
  <c r="Q151" i="10" s="1"/>
  <c r="AB150" i="10"/>
  <c r="X150" i="10"/>
  <c r="AA150" i="10" s="1"/>
  <c r="R150" i="10"/>
  <c r="N150" i="10"/>
  <c r="Q150" i="10" s="1"/>
  <c r="AB149" i="10"/>
  <c r="X149" i="10"/>
  <c r="AA149" i="10" s="1"/>
  <c r="R149" i="10"/>
  <c r="N149" i="10"/>
  <c r="Q149" i="10" s="1"/>
  <c r="AB148" i="10"/>
  <c r="X148" i="10"/>
  <c r="AA148" i="10" s="1"/>
  <c r="R148" i="10"/>
  <c r="N148" i="10"/>
  <c r="Q148" i="10" s="1"/>
  <c r="AB147" i="10"/>
  <c r="X147" i="10"/>
  <c r="AA147" i="10" s="1"/>
  <c r="R147" i="10"/>
  <c r="Q147" i="10"/>
  <c r="N147" i="10"/>
  <c r="AB146" i="10"/>
  <c r="AA146" i="10"/>
  <c r="X146" i="10"/>
  <c r="R146" i="10"/>
  <c r="N146" i="10"/>
  <c r="Q146" i="10" s="1"/>
  <c r="AB145" i="10"/>
  <c r="X145" i="10"/>
  <c r="AA145" i="10" s="1"/>
  <c r="R145" i="10"/>
  <c r="Q145" i="10"/>
  <c r="N145" i="10"/>
  <c r="AB144" i="10"/>
  <c r="AA144" i="10"/>
  <c r="X144" i="10"/>
  <c r="R144" i="10"/>
  <c r="N144" i="10"/>
  <c r="Q144" i="10" s="1"/>
  <c r="AB143" i="10"/>
  <c r="X143" i="10"/>
  <c r="AA143" i="10" s="1"/>
  <c r="R143" i="10"/>
  <c r="N143" i="10"/>
  <c r="Q143" i="10" s="1"/>
  <c r="AB142" i="10"/>
  <c r="X142" i="10"/>
  <c r="AA142" i="10" s="1"/>
  <c r="R142" i="10"/>
  <c r="Q142" i="10"/>
  <c r="N142" i="10"/>
  <c r="AB141" i="10"/>
  <c r="X141" i="10"/>
  <c r="AA141" i="10" s="1"/>
  <c r="R141" i="10"/>
  <c r="N141" i="10"/>
  <c r="Q141" i="10" s="1"/>
  <c r="AB140" i="10"/>
  <c r="X140" i="10"/>
  <c r="AA140" i="10" s="1"/>
  <c r="R140" i="10"/>
  <c r="Q140" i="10"/>
  <c r="N140" i="10"/>
  <c r="AB139" i="10"/>
  <c r="X139" i="10"/>
  <c r="AA139" i="10" s="1"/>
  <c r="R139" i="10"/>
  <c r="N139" i="10"/>
  <c r="Q139" i="10" s="1"/>
  <c r="AB138" i="10"/>
  <c r="X138" i="10"/>
  <c r="AA138" i="10" s="1"/>
  <c r="R138" i="10"/>
  <c r="N138" i="10"/>
  <c r="Q138" i="10" s="1"/>
  <c r="AB137" i="10"/>
  <c r="X137" i="10"/>
  <c r="AA137" i="10" s="1"/>
  <c r="R137" i="10"/>
  <c r="N137" i="10"/>
  <c r="Q137" i="10" s="1"/>
  <c r="AB136" i="10"/>
  <c r="AA136" i="10"/>
  <c r="X136" i="10"/>
  <c r="R136" i="10"/>
  <c r="N136" i="10"/>
  <c r="Q136" i="10" s="1"/>
  <c r="AB135" i="10"/>
  <c r="X135" i="10"/>
  <c r="AA135" i="10" s="1"/>
  <c r="R135" i="10"/>
  <c r="N135" i="10"/>
  <c r="Q135" i="10" s="1"/>
  <c r="AB134" i="10"/>
  <c r="AA134" i="10"/>
  <c r="X134" i="10"/>
  <c r="R134" i="10"/>
  <c r="N134" i="10"/>
  <c r="Q134" i="10" s="1"/>
  <c r="AB133" i="10"/>
  <c r="X133" i="10"/>
  <c r="AA133" i="10" s="1"/>
  <c r="R133" i="10"/>
  <c r="N133" i="10"/>
  <c r="Q133" i="10" s="1"/>
  <c r="AB132" i="10"/>
  <c r="X132" i="10"/>
  <c r="AA132" i="10" s="1"/>
  <c r="R132" i="10"/>
  <c r="N132" i="10"/>
  <c r="Q132" i="10" s="1"/>
  <c r="AB131" i="10"/>
  <c r="AA131" i="10"/>
  <c r="X131" i="10"/>
  <c r="R131" i="10"/>
  <c r="N131" i="10"/>
  <c r="Q131" i="10" s="1"/>
  <c r="AB130" i="10"/>
  <c r="X130" i="10"/>
  <c r="AA130" i="10" s="1"/>
  <c r="R130" i="10"/>
  <c r="Q130" i="10"/>
  <c r="N130" i="10"/>
  <c r="AB129" i="10"/>
  <c r="AA129" i="10"/>
  <c r="X129" i="10"/>
  <c r="R129" i="10"/>
  <c r="N129" i="10"/>
  <c r="Q129" i="10" s="1"/>
  <c r="AB128" i="10"/>
  <c r="X128" i="10"/>
  <c r="AA128" i="10" s="1"/>
  <c r="R128" i="10"/>
  <c r="N128" i="10"/>
  <c r="Q128" i="10" s="1"/>
  <c r="AB127" i="10"/>
  <c r="X127" i="10"/>
  <c r="AA127" i="10" s="1"/>
  <c r="R127" i="10"/>
  <c r="N127" i="10"/>
  <c r="Q127" i="10" s="1"/>
  <c r="AB126" i="10"/>
  <c r="X126" i="10"/>
  <c r="AA126" i="10" s="1"/>
  <c r="R126" i="10"/>
  <c r="N126" i="10"/>
  <c r="Q126" i="10" s="1"/>
  <c r="AB125" i="10"/>
  <c r="X125" i="10"/>
  <c r="AA125" i="10" s="1"/>
  <c r="R125" i="10"/>
  <c r="Q125" i="10"/>
  <c r="N125" i="10"/>
  <c r="AB124" i="10"/>
  <c r="X124" i="10"/>
  <c r="AA124" i="10" s="1"/>
  <c r="R124" i="10"/>
  <c r="N124" i="10"/>
  <c r="Q124" i="10" s="1"/>
  <c r="AB123" i="10"/>
  <c r="X123" i="10"/>
  <c r="AA123" i="10" s="1"/>
  <c r="R123" i="10"/>
  <c r="N123" i="10"/>
  <c r="Q123" i="10" s="1"/>
  <c r="AB122" i="10"/>
  <c r="X122" i="10"/>
  <c r="AA122" i="10" s="1"/>
  <c r="R122" i="10"/>
  <c r="N122" i="10"/>
  <c r="Q122" i="10" s="1"/>
  <c r="AB121" i="10"/>
  <c r="X121" i="10"/>
  <c r="AA121" i="10" s="1"/>
  <c r="R121" i="10"/>
  <c r="N121" i="10"/>
  <c r="Q121" i="10" s="1"/>
  <c r="AB120" i="10"/>
  <c r="X120" i="10"/>
  <c r="AA120" i="10" s="1"/>
  <c r="R120" i="10"/>
  <c r="N120" i="10"/>
  <c r="Q120" i="10" s="1"/>
  <c r="AB119" i="10"/>
  <c r="X119" i="10"/>
  <c r="AA119" i="10" s="1"/>
  <c r="R119" i="10"/>
  <c r="N119" i="10"/>
  <c r="Q119" i="10" s="1"/>
  <c r="AB118" i="10"/>
  <c r="X118" i="10"/>
  <c r="AA118" i="10" s="1"/>
  <c r="R118" i="10"/>
  <c r="N118" i="10"/>
  <c r="Q118" i="10" s="1"/>
  <c r="AB117" i="10"/>
  <c r="X117" i="10"/>
  <c r="AA117" i="10" s="1"/>
  <c r="R117" i="10"/>
  <c r="N117" i="10"/>
  <c r="Q117" i="10" s="1"/>
  <c r="AB116" i="10"/>
  <c r="X116" i="10"/>
  <c r="AA116" i="10" s="1"/>
  <c r="R116" i="10"/>
  <c r="N116" i="10"/>
  <c r="Q116" i="10" s="1"/>
  <c r="AB115" i="10"/>
  <c r="X115" i="10"/>
  <c r="AA115" i="10" s="1"/>
  <c r="R115" i="10"/>
  <c r="N115" i="10"/>
  <c r="Q115" i="10" s="1"/>
  <c r="AB114" i="10"/>
  <c r="X114" i="10"/>
  <c r="AA114" i="10" s="1"/>
  <c r="R114" i="10"/>
  <c r="N114" i="10"/>
  <c r="Q114" i="10" s="1"/>
  <c r="AB113" i="10"/>
  <c r="X113" i="10"/>
  <c r="AA113" i="10" s="1"/>
  <c r="R113" i="10"/>
  <c r="N113" i="10"/>
  <c r="Q113" i="10" s="1"/>
  <c r="H113" i="10"/>
  <c r="AB112" i="10"/>
  <c r="X112" i="10"/>
  <c r="AA112" i="10" s="1"/>
  <c r="R112" i="10"/>
  <c r="N112" i="10"/>
  <c r="Q112" i="10" s="1"/>
  <c r="H112" i="10"/>
  <c r="AB111" i="10"/>
  <c r="X111" i="10"/>
  <c r="AA111" i="10" s="1"/>
  <c r="R111" i="10"/>
  <c r="N111" i="10"/>
  <c r="Q111" i="10" s="1"/>
  <c r="H111" i="10"/>
  <c r="AB110" i="10"/>
  <c r="AA110" i="10"/>
  <c r="X110" i="10"/>
  <c r="R110" i="10"/>
  <c r="N110" i="10"/>
  <c r="Q110" i="10" s="1"/>
  <c r="H110" i="10"/>
  <c r="AB109" i="10"/>
  <c r="X109" i="10"/>
  <c r="AA109" i="10" s="1"/>
  <c r="R109" i="10"/>
  <c r="N109" i="10"/>
  <c r="Q109" i="10" s="1"/>
  <c r="H109" i="10"/>
  <c r="AB108" i="10"/>
  <c r="X108" i="10"/>
  <c r="AA108" i="10" s="1"/>
  <c r="R108" i="10"/>
  <c r="N108" i="10"/>
  <c r="Q108" i="10" s="1"/>
  <c r="H108" i="10"/>
  <c r="AB107" i="10"/>
  <c r="X107" i="10"/>
  <c r="AA107" i="10" s="1"/>
  <c r="R107" i="10"/>
  <c r="N107" i="10"/>
  <c r="Q107" i="10" s="1"/>
  <c r="H107" i="10"/>
  <c r="AB106" i="10"/>
  <c r="X106" i="10"/>
  <c r="AA106" i="10" s="1"/>
  <c r="R106" i="10"/>
  <c r="N106" i="10"/>
  <c r="Q106" i="10" s="1"/>
  <c r="AB105" i="10"/>
  <c r="X105" i="10"/>
  <c r="AA105" i="10" s="1"/>
  <c r="R105" i="10"/>
  <c r="N105" i="10"/>
  <c r="Q105" i="10" s="1"/>
  <c r="AB104" i="10"/>
  <c r="X104" i="10"/>
  <c r="AA104" i="10" s="1"/>
  <c r="R104" i="10"/>
  <c r="N104" i="10"/>
  <c r="Q104" i="10" s="1"/>
  <c r="AB103" i="10"/>
  <c r="X103" i="10"/>
  <c r="AA103" i="10" s="1"/>
  <c r="R103" i="10"/>
  <c r="Q103" i="10"/>
  <c r="N103" i="10"/>
  <c r="AB102" i="10"/>
  <c r="X102" i="10"/>
  <c r="AA102" i="10" s="1"/>
  <c r="R102" i="10"/>
  <c r="N102" i="10"/>
  <c r="Q102" i="10" s="1"/>
  <c r="AB101" i="10"/>
  <c r="X101" i="10"/>
  <c r="AA101" i="10" s="1"/>
  <c r="R101" i="10"/>
  <c r="N101" i="10"/>
  <c r="Q101" i="10" s="1"/>
  <c r="AB100" i="10"/>
  <c r="X100" i="10"/>
  <c r="AA100" i="10" s="1"/>
  <c r="R100" i="10"/>
  <c r="N100" i="10"/>
  <c r="Q100" i="10" s="1"/>
  <c r="AB99" i="10"/>
  <c r="X99" i="10"/>
  <c r="AA99" i="10" s="1"/>
  <c r="R99" i="10"/>
  <c r="N99" i="10"/>
  <c r="Q99" i="10" s="1"/>
  <c r="AB98" i="10"/>
  <c r="X98" i="10"/>
  <c r="AA98" i="10" s="1"/>
  <c r="R98" i="10"/>
  <c r="N98" i="10"/>
  <c r="Q98" i="10" s="1"/>
  <c r="AB97" i="10"/>
  <c r="X97" i="10"/>
  <c r="AA97" i="10" s="1"/>
  <c r="R97" i="10"/>
  <c r="N97" i="10"/>
  <c r="Q97" i="10" s="1"/>
  <c r="AB96" i="10"/>
  <c r="AA96" i="10"/>
  <c r="X96" i="10"/>
  <c r="R96" i="10"/>
  <c r="N96" i="10"/>
  <c r="Q96" i="10" s="1"/>
  <c r="AB95" i="10"/>
  <c r="AA95" i="10"/>
  <c r="X95" i="10"/>
  <c r="R95" i="10"/>
  <c r="N95" i="10"/>
  <c r="Q95" i="10" s="1"/>
  <c r="AB94" i="10"/>
  <c r="AA94" i="10"/>
  <c r="R94" i="10"/>
  <c r="Q94" i="10"/>
  <c r="AB93" i="10"/>
  <c r="X93" i="10"/>
  <c r="AA93" i="10" s="1"/>
  <c r="R93" i="10"/>
  <c r="N93" i="10"/>
  <c r="Q93" i="10" s="1"/>
  <c r="AB92" i="10"/>
  <c r="X92" i="10"/>
  <c r="AA92" i="10" s="1"/>
  <c r="R92" i="10"/>
  <c r="N92" i="10"/>
  <c r="Q92" i="10" s="1"/>
  <c r="AB91" i="10"/>
  <c r="X91" i="10"/>
  <c r="AA91" i="10" s="1"/>
  <c r="R91" i="10"/>
  <c r="N91" i="10"/>
  <c r="Q91" i="10" s="1"/>
  <c r="AB90" i="10"/>
  <c r="X90" i="10"/>
  <c r="AA90" i="10" s="1"/>
  <c r="R90" i="10"/>
  <c r="N90" i="10"/>
  <c r="Q90" i="10" s="1"/>
  <c r="AB89" i="10"/>
  <c r="X89" i="10"/>
  <c r="AA89" i="10" s="1"/>
  <c r="R89" i="10"/>
  <c r="Q89" i="10"/>
  <c r="N89" i="10"/>
  <c r="AB88" i="10"/>
  <c r="X88" i="10"/>
  <c r="AA88" i="10" s="1"/>
  <c r="R88" i="10"/>
  <c r="Q88" i="10"/>
  <c r="N88" i="10"/>
  <c r="AB87" i="10"/>
  <c r="X87" i="10"/>
  <c r="AA87" i="10" s="1"/>
  <c r="R87" i="10"/>
  <c r="N87" i="10"/>
  <c r="Q87" i="10" s="1"/>
  <c r="AB86" i="10"/>
  <c r="X86" i="10"/>
  <c r="AA86" i="10" s="1"/>
  <c r="R86" i="10"/>
  <c r="Q86" i="10"/>
  <c r="N86" i="10"/>
  <c r="AB85" i="10"/>
  <c r="X85" i="10"/>
  <c r="AA85" i="10" s="1"/>
  <c r="R85" i="10"/>
  <c r="N85" i="10"/>
  <c r="Q85" i="10" s="1"/>
  <c r="AB84" i="10"/>
  <c r="X84" i="10"/>
  <c r="AA84" i="10" s="1"/>
  <c r="R84" i="10"/>
  <c r="N84" i="10"/>
  <c r="Q84" i="10" s="1"/>
  <c r="AB83" i="10"/>
  <c r="X83" i="10"/>
  <c r="AA83" i="10" s="1"/>
  <c r="R83" i="10"/>
  <c r="N83" i="10"/>
  <c r="Q83" i="10" s="1"/>
  <c r="AB82" i="10"/>
  <c r="X82" i="10"/>
  <c r="AA82" i="10" s="1"/>
  <c r="R82" i="10"/>
  <c r="N82" i="10"/>
  <c r="Q82" i="10" s="1"/>
  <c r="AB81" i="10"/>
  <c r="X81" i="10"/>
  <c r="AA81" i="10" s="1"/>
  <c r="R81" i="10"/>
  <c r="N81" i="10"/>
  <c r="Q81" i="10" s="1"/>
  <c r="AB80" i="10"/>
  <c r="X80" i="10"/>
  <c r="AA80" i="10" s="1"/>
  <c r="R80" i="10"/>
  <c r="N80" i="10"/>
  <c r="Q80" i="10" s="1"/>
  <c r="AB79" i="10"/>
  <c r="X79" i="10"/>
  <c r="AA79" i="10" s="1"/>
  <c r="R79" i="10"/>
  <c r="N79" i="10"/>
  <c r="Q79" i="10" s="1"/>
  <c r="AB78" i="10"/>
  <c r="X78" i="10"/>
  <c r="AA78" i="10" s="1"/>
  <c r="R78" i="10"/>
  <c r="N78" i="10"/>
  <c r="Q78" i="10" s="1"/>
  <c r="AB77" i="10"/>
  <c r="AA77" i="10"/>
  <c r="X77" i="10"/>
  <c r="R77" i="10"/>
  <c r="N77" i="10"/>
  <c r="Q77" i="10" s="1"/>
  <c r="AB76" i="10"/>
  <c r="X76" i="10"/>
  <c r="AA76" i="10" s="1"/>
  <c r="R76" i="10"/>
  <c r="N76" i="10"/>
  <c r="Q76" i="10" s="1"/>
  <c r="AB75" i="10"/>
  <c r="X75" i="10"/>
  <c r="AA75" i="10" s="1"/>
  <c r="R75" i="10"/>
  <c r="N75" i="10"/>
  <c r="Q75" i="10" s="1"/>
  <c r="AB74" i="10"/>
  <c r="X74" i="10"/>
  <c r="AA74" i="10" s="1"/>
  <c r="R74" i="10"/>
  <c r="N74" i="10"/>
  <c r="Q74" i="10" s="1"/>
  <c r="AB73" i="10"/>
  <c r="X73" i="10"/>
  <c r="AA73" i="10" s="1"/>
  <c r="R73" i="10"/>
  <c r="Q73" i="10"/>
  <c r="N73" i="10"/>
  <c r="AB72" i="10"/>
  <c r="X72" i="10"/>
  <c r="AA72" i="10" s="1"/>
  <c r="R72" i="10"/>
  <c r="Q72" i="10"/>
  <c r="N72" i="10"/>
  <c r="AB71" i="10"/>
  <c r="X71" i="10"/>
  <c r="AA71" i="10" s="1"/>
  <c r="R71" i="10"/>
  <c r="N71" i="10"/>
  <c r="Q71" i="10" s="1"/>
  <c r="AB70" i="10"/>
  <c r="X70" i="10"/>
  <c r="AA70" i="10" s="1"/>
  <c r="R70" i="10"/>
  <c r="N70" i="10"/>
  <c r="Q70" i="10" s="1"/>
  <c r="AB69" i="10"/>
  <c r="AA69" i="10"/>
  <c r="R69" i="10"/>
  <c r="Q69" i="10"/>
  <c r="AB68" i="10"/>
  <c r="AA68" i="10"/>
  <c r="X68" i="10"/>
  <c r="R68" i="10"/>
  <c r="N68" i="10"/>
  <c r="Q68" i="10" s="1"/>
  <c r="AB67" i="10"/>
  <c r="AA67" i="10"/>
  <c r="X67" i="10"/>
  <c r="R67" i="10"/>
  <c r="N67" i="10"/>
  <c r="Q67" i="10" s="1"/>
  <c r="AB66" i="10"/>
  <c r="X66" i="10"/>
  <c r="AA66" i="10" s="1"/>
  <c r="R66" i="10"/>
  <c r="N66" i="10"/>
  <c r="Q66" i="10" s="1"/>
  <c r="AB65" i="10"/>
  <c r="AA65" i="10"/>
  <c r="X65" i="10"/>
  <c r="R65" i="10"/>
  <c r="N65" i="10"/>
  <c r="Q65" i="10" s="1"/>
  <c r="AB64" i="10"/>
  <c r="X64" i="10"/>
  <c r="AA64" i="10" s="1"/>
  <c r="R64" i="10"/>
  <c r="N64" i="10"/>
  <c r="Q64" i="10" s="1"/>
  <c r="AB63" i="10"/>
  <c r="X63" i="10"/>
  <c r="AA63" i="10" s="1"/>
  <c r="R63" i="10"/>
  <c r="N63" i="10"/>
  <c r="Q63" i="10" s="1"/>
  <c r="AB62" i="10"/>
  <c r="X62" i="10"/>
  <c r="AA62" i="10" s="1"/>
  <c r="R62" i="10"/>
  <c r="N62" i="10"/>
  <c r="Q62" i="10" s="1"/>
  <c r="AB61" i="10"/>
  <c r="X61" i="10"/>
  <c r="AA61" i="10" s="1"/>
  <c r="R61" i="10"/>
  <c r="N61" i="10"/>
  <c r="Q61" i="10" s="1"/>
  <c r="AB60" i="10"/>
  <c r="X60" i="10"/>
  <c r="AA60" i="10" s="1"/>
  <c r="R60" i="10"/>
  <c r="N60" i="10"/>
  <c r="Q60" i="10" s="1"/>
  <c r="AB59" i="10"/>
  <c r="AA59" i="10"/>
  <c r="X59" i="10"/>
  <c r="R59" i="10"/>
  <c r="N59" i="10"/>
  <c r="Q59" i="10" s="1"/>
  <c r="AB58" i="10"/>
  <c r="AA58" i="10"/>
  <c r="X58" i="10"/>
  <c r="R58" i="10"/>
  <c r="N58" i="10"/>
  <c r="Q58" i="10" s="1"/>
  <c r="AB57" i="10"/>
  <c r="X57" i="10"/>
  <c r="AA57" i="10" s="1"/>
  <c r="R57" i="10"/>
  <c r="N57" i="10"/>
  <c r="Q57" i="10" s="1"/>
  <c r="AB56" i="10"/>
  <c r="X56" i="10"/>
  <c r="AA56" i="10" s="1"/>
  <c r="R56" i="10"/>
  <c r="N56" i="10"/>
  <c r="Q56" i="10" s="1"/>
  <c r="AB55" i="10"/>
  <c r="X55" i="10"/>
  <c r="AA55" i="10" s="1"/>
  <c r="R55" i="10"/>
  <c r="N55" i="10"/>
  <c r="Q55" i="10" s="1"/>
  <c r="AB54" i="10"/>
  <c r="X54" i="10"/>
  <c r="AA54" i="10" s="1"/>
  <c r="R54" i="10"/>
  <c r="N54" i="10"/>
  <c r="Q54" i="10" s="1"/>
  <c r="AB53" i="10"/>
  <c r="X53" i="10"/>
  <c r="AA53" i="10" s="1"/>
  <c r="R53" i="10"/>
  <c r="N53" i="10"/>
  <c r="Q53" i="10" s="1"/>
  <c r="AK52" i="10"/>
  <c r="AB52" i="10"/>
  <c r="X52" i="10"/>
  <c r="AA52" i="10" s="1"/>
  <c r="R52" i="10"/>
  <c r="N52" i="10"/>
  <c r="Q52" i="10" s="1"/>
  <c r="AK51" i="10"/>
  <c r="AB51" i="10"/>
  <c r="X51" i="10"/>
  <c r="AA51" i="10" s="1"/>
  <c r="R51" i="10"/>
  <c r="Q51" i="10"/>
  <c r="N51" i="10"/>
  <c r="AK50" i="10"/>
  <c r="AB50" i="10"/>
  <c r="AA50" i="10"/>
  <c r="X50" i="10"/>
  <c r="R50" i="10"/>
  <c r="N50" i="10"/>
  <c r="Q50" i="10" s="1"/>
  <c r="AF49" i="10"/>
  <c r="AK49" i="10" s="1"/>
  <c r="AB49" i="10"/>
  <c r="X49" i="10"/>
  <c r="AA49" i="10" s="1"/>
  <c r="R49" i="10"/>
  <c r="Q49" i="10"/>
  <c r="N49" i="10"/>
  <c r="AF48" i="10"/>
  <c r="AB48" i="10"/>
  <c r="X48" i="10"/>
  <c r="AA48" i="10" s="1"/>
  <c r="N48" i="10"/>
  <c r="Q48" i="10" s="1"/>
  <c r="R48" i="10" s="1"/>
  <c r="AK47" i="10"/>
  <c r="AB47" i="10"/>
  <c r="X47" i="10"/>
  <c r="AA47" i="10" s="1"/>
  <c r="R47" i="10"/>
  <c r="N47" i="10"/>
  <c r="Q47" i="10" s="1"/>
  <c r="AK46" i="10"/>
  <c r="AB46" i="10"/>
  <c r="X46" i="10"/>
  <c r="AA46" i="10" s="1"/>
  <c r="R46" i="10"/>
  <c r="N46" i="10"/>
  <c r="Q46" i="10" s="1"/>
  <c r="AK45" i="10"/>
  <c r="AB45" i="10"/>
  <c r="X45" i="10"/>
  <c r="AA45" i="10" s="1"/>
  <c r="R45" i="10"/>
  <c r="N45" i="10"/>
  <c r="Q45" i="10" s="1"/>
  <c r="AK44" i="10"/>
  <c r="AB44" i="10"/>
  <c r="X44" i="10"/>
  <c r="AA44" i="10" s="1"/>
  <c r="R44" i="10"/>
  <c r="N44" i="10"/>
  <c r="Q44" i="10" s="1"/>
  <c r="AF43" i="10"/>
  <c r="AK43" i="10" s="1"/>
  <c r="AB43" i="10"/>
  <c r="X43" i="10"/>
  <c r="AA43" i="10" s="1"/>
  <c r="N43" i="10"/>
  <c r="Q43" i="10" s="1"/>
  <c r="R43" i="10" s="1"/>
  <c r="AK42" i="10"/>
  <c r="AF42" i="10"/>
  <c r="AB42" i="10"/>
  <c r="X42" i="10"/>
  <c r="AA42" i="10" s="1"/>
  <c r="N42" i="10"/>
  <c r="Q42" i="10" s="1"/>
  <c r="R42" i="10" s="1"/>
  <c r="AF41" i="10"/>
  <c r="AK41" i="10" s="1"/>
  <c r="X41" i="10"/>
  <c r="AA41" i="10" s="1"/>
  <c r="AB41" i="10" s="1"/>
  <c r="N41" i="10"/>
  <c r="Q41" i="10" s="1"/>
  <c r="R41" i="10" s="1"/>
  <c r="AK40" i="10"/>
  <c r="AF40" i="10"/>
  <c r="AB40" i="10"/>
  <c r="X40" i="10"/>
  <c r="AA40" i="10" s="1"/>
  <c r="G13" i="9"/>
  <c r="G12" i="9" s="1"/>
  <c r="H30" i="10"/>
  <c r="H28" i="10"/>
  <c r="H27" i="10"/>
  <c r="H18" i="10"/>
  <c r="H14" i="10"/>
  <c r="H13" i="10"/>
  <c r="H10" i="10"/>
  <c r="H9" i="10"/>
  <c r="H8" i="10"/>
  <c r="H7" i="10"/>
  <c r="H6" i="10"/>
  <c r="G21" i="9" l="1" a="1"/>
  <c r="G21" i="9" s="1"/>
  <c r="G20" i="9" a="1"/>
  <c r="G20" i="9" s="1"/>
  <c r="G36" i="9"/>
  <c r="H11" i="10"/>
  <c r="H15" i="10"/>
  <c r="G9" i="9" s="1"/>
  <c r="H5" i="10"/>
  <c r="G8" i="9" s="1"/>
  <c r="G19" i="9"/>
  <c r="AK48" i="10"/>
  <c r="AK54" i="10" s="1"/>
  <c r="AJ54" i="10" l="1"/>
  <c r="G16" i="9"/>
  <c r="G7" i="9"/>
  <c r="C87" i="6"/>
  <c r="C86" i="6"/>
  <c r="C88" i="6"/>
  <c r="C89" i="6"/>
  <c r="C96" i="6"/>
  <c r="G41" i="9" l="1"/>
  <c r="C104" i="6"/>
  <c r="C94" i="6"/>
  <c r="C93" i="6"/>
  <c r="C92" i="6"/>
  <c r="C91" i="6"/>
  <c r="C79" i="6"/>
  <c r="B76" i="6"/>
  <c r="B77" i="6"/>
  <c r="C76" i="6"/>
  <c r="C77" i="6"/>
  <c r="C78" i="6"/>
  <c r="B79" i="6"/>
  <c r="B78" i="6"/>
  <c r="E8" i="6"/>
  <c r="D8" i="6"/>
  <c r="E7" i="6"/>
  <c r="D7" i="6"/>
  <c r="C99" i="6" l="1"/>
  <c r="C95" i="6"/>
  <c r="B157" i="6"/>
  <c r="B181" i="6" l="1"/>
  <c r="B180" i="6"/>
  <c r="B179" i="6"/>
  <c r="B178" i="6"/>
  <c r="B177" i="6"/>
  <c r="B176" i="6"/>
  <c r="B175" i="6"/>
  <c r="B174" i="6"/>
  <c r="B173" i="6"/>
  <c r="B202" i="6"/>
  <c r="B201" i="6"/>
  <c r="B190" i="6"/>
  <c r="B189" i="6"/>
  <c r="B188" i="6"/>
  <c r="B187" i="6"/>
  <c r="B186" i="6"/>
  <c r="B145" i="6"/>
  <c r="B144" i="6"/>
  <c r="B143" i="6"/>
  <c r="B142" i="6"/>
  <c r="B140" i="6"/>
  <c r="B129" i="6"/>
  <c r="B127" i="6"/>
  <c r="B128" i="6"/>
  <c r="B134" i="6"/>
  <c r="B133" i="6"/>
  <c r="B132" i="6"/>
  <c r="B131" i="6"/>
  <c r="B121" i="6"/>
  <c r="F5" i="6" l="1"/>
  <c r="C224" i="6" l="1"/>
  <c r="B122" i="6" l="1"/>
  <c r="B163" i="6" l="1"/>
  <c r="B161" i="6"/>
  <c r="B160" i="6"/>
  <c r="B200" i="6" l="1"/>
  <c r="B199" i="6"/>
  <c r="B198" i="6"/>
  <c r="B197" i="6"/>
  <c r="B246" i="6"/>
  <c r="B247" i="6"/>
  <c r="B248" i="6"/>
  <c r="B249" i="6"/>
  <c r="B250" i="6"/>
  <c r="B251" i="6"/>
  <c r="B252" i="6"/>
  <c r="B253" i="6"/>
  <c r="B254" i="6"/>
  <c r="B255" i="6"/>
  <c r="B256" i="6"/>
  <c r="B257" i="6"/>
  <c r="B258" i="6"/>
  <c r="B262" i="6"/>
  <c r="B263" i="6"/>
  <c r="B264" i="6"/>
  <c r="B265" i="6"/>
  <c r="B266" i="6"/>
  <c r="B267" i="6"/>
  <c r="B268" i="6"/>
  <c r="B269" i="6"/>
  <c r="B270" i="6"/>
  <c r="B271" i="6"/>
  <c r="B274" i="6"/>
  <c r="B275" i="6"/>
  <c r="B276" i="6"/>
  <c r="B277" i="6"/>
  <c r="B278" i="6"/>
  <c r="B279" i="6"/>
  <c r="B280" i="6"/>
  <c r="B281" i="6"/>
  <c r="B286" i="6"/>
  <c r="B243" i="6"/>
  <c r="B242" i="6"/>
  <c r="B241" i="6"/>
  <c r="B240" i="6"/>
  <c r="B239" i="6"/>
  <c r="B238" i="6"/>
  <c r="B237" i="6"/>
  <c r="B236" i="6"/>
  <c r="B235" i="6"/>
  <c r="B234" i="6"/>
  <c r="B233" i="6"/>
  <c r="B232" i="6"/>
  <c r="B171" i="6" l="1"/>
  <c r="B170" i="6"/>
  <c r="B162" i="6"/>
  <c r="B159" i="6"/>
  <c r="B158" i="6"/>
  <c r="B156" i="6"/>
  <c r="B155" i="6"/>
  <c r="B154" i="6"/>
  <c r="B153" i="6"/>
  <c r="B152" i="6"/>
  <c r="B151" i="6"/>
  <c r="B150" i="6"/>
  <c r="B149" i="6"/>
  <c r="B148" i="6"/>
  <c r="B147" i="6"/>
  <c r="B141" i="6"/>
  <c r="B139" i="6"/>
  <c r="B138" i="6"/>
  <c r="B137" i="6"/>
  <c r="B135" i="6"/>
  <c r="B130" i="6"/>
  <c r="B126" i="6"/>
  <c r="B125" i="6"/>
  <c r="B124" i="6"/>
  <c r="B123" i="6"/>
  <c r="B119" i="6"/>
  <c r="B118" i="6"/>
  <c r="B115" i="6"/>
  <c r="B114" i="6"/>
  <c r="B113" i="6"/>
  <c r="B112" i="6"/>
  <c r="D217" i="6" l="1"/>
  <c r="D216" i="6"/>
  <c r="D215" i="6"/>
  <c r="C228" i="6" l="1"/>
  <c r="C227" i="6"/>
  <c r="C222" i="6"/>
  <c r="C223" i="6"/>
  <c r="F9" i="6"/>
  <c r="E9" i="6"/>
  <c r="D9" i="6"/>
  <c r="C9" i="6"/>
  <c r="F19" i="6" l="1"/>
  <c r="E19" i="6"/>
  <c r="D19" i="6"/>
  <c r="C19" i="6"/>
  <c r="C110" i="6" l="1"/>
  <c r="C109" i="6"/>
  <c r="C108" i="6"/>
  <c r="C107" i="6"/>
  <c r="C106" i="6"/>
  <c r="C105" i="6"/>
  <c r="C82" i="6"/>
  <c r="E18" i="6"/>
  <c r="D18" i="6"/>
  <c r="C18" i="6"/>
  <c r="E17" i="6"/>
  <c r="D17" i="6"/>
  <c r="E16" i="6"/>
  <c r="D16" i="6"/>
  <c r="C16" i="6"/>
  <c r="E15" i="6"/>
  <c r="D15" i="6"/>
  <c r="C15" i="6"/>
  <c r="E14" i="6"/>
  <c r="D14" i="6"/>
  <c r="C14" i="6"/>
  <c r="E13" i="6"/>
  <c r="D13" i="6"/>
  <c r="C13" i="6"/>
  <c r="E12" i="6"/>
  <c r="D12" i="6"/>
  <c r="C12" i="6"/>
  <c r="E11" i="6"/>
  <c r="D11" i="6"/>
  <c r="C11" i="6"/>
  <c r="E10" i="6"/>
  <c r="D10" i="6"/>
  <c r="C10" i="6"/>
  <c r="E4" i="6"/>
  <c r="D4" i="6"/>
  <c r="C4" i="6"/>
  <c r="E3" i="6"/>
  <c r="D3" i="6"/>
  <c r="C3" i="6"/>
  <c r="E2" i="6"/>
  <c r="D2" i="6"/>
  <c r="C2" i="6"/>
  <c r="F18" i="6" l="1"/>
  <c r="F10" i="6"/>
  <c r="F16" i="6"/>
  <c r="F11" i="6"/>
  <c r="F15" i="6"/>
  <c r="F3" i="6"/>
  <c r="F12" i="6"/>
  <c r="F4" i="6"/>
  <c r="F2" i="6"/>
  <c r="F13" i="6"/>
  <c r="F17" i="6"/>
  <c r="F1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tc={9B234449-635B-E44C-B604-C063E75DE66E}</author>
    <author>tc={9FC385C8-0B0E-EF48-9CBB-36BA73EECAF2}</author>
  </authors>
  <commentList>
    <comment ref="A13" authorId="0" shapeId="0" xr:uid="{9B234449-635B-E44C-B604-C063E75DE66E}">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Entrer le nombre total de clients reçu pour l’année de quantification</t>
      </text>
    </comment>
    <comment ref="A14" authorId="1" shapeId="0" xr:uid="{9FC385C8-0B0E-EF48-9CBB-36BA73EECAF2}">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Insérer le nombre total de chambres réservées pour l’année de quantification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tc={95CA0B4F-13AF-5A45-87DD-100AF217E77F}</author>
    <author>tc={41205252-CBEE-8A4E-B0E4-BE50F749D4EE}</author>
    <author>tc={6DEDB650-D531-EE44-A16D-F4BB07995857}</author>
    <author>tc={CAED6094-F226-7C4C-8CB1-2297C90F53FC}</author>
    <author>tc={89AC0745-67B1-334F-BD4C-C26B1A922166}</author>
    <author>tc={F3D66AD2-7663-4E47-B277-E57BB0797BEA}</author>
    <author>tc={A50348A9-FA7F-E24D-A832-46CF86E3E329}</author>
    <author>tc={99C4D392-3EE1-1C43-974D-6F7F43711201}</author>
    <author>tc={71B97EB1-398A-054B-9631-9A89E8B9FED8}</author>
    <author>tc={9C30E672-B7F7-E948-8C41-C6489E31A06F}</author>
    <author>tc={47AC0DA9-8882-434F-9E48-212F55E76008}</author>
    <author>tc={86D56667-F0D1-294A-B440-5B86578C6168}</author>
    <author>tc={652E8C1C-DA11-7E44-A0E6-D3D9D8D1F2D7}</author>
    <author>tc={F68A8E6E-F97E-9943-96F1-B70B89DB9E55}</author>
    <author>tc={896F53FB-8BE3-364B-A141-A2CBD01E4E58}</author>
    <author>tc={BD5DE98D-2AC3-604E-8605-87121F9410AA}</author>
    <author>tc={93CF6D35-FFC3-ED47-8BA1-895B2199BED3}</author>
    <author>tc={58551C67-F0F8-4E43-8923-ACE5085E50B4}</author>
    <author>tc={06BF240D-1BCC-614C-97A3-32A105EC48CD}</author>
    <author>tc={A07B7B96-42AD-FF46-B0CD-6CB0F2A2A618}</author>
    <author>tc={1DA9B968-CA31-D54B-9421-7D555EECFB03}</author>
    <author>tc={1E5A4DCA-686D-C64D-850C-563FC9B13C43}</author>
    <author>tc={900BFF37-B3C6-8E4A-933F-B090F9EC29DA}</author>
    <author>tc={56E86936-8B2D-0E4C-A34A-1A5E215AD53B}</author>
    <author>tc={0AAD176A-127E-B04F-B849-7ABF66B46707}</author>
    <author>tc={41B07C10-5F79-7745-99BB-6D208591FE01}</author>
    <author>Benbelaid Yasmine</author>
    <author>tc={6DBE1396-B8AC-FC42-B263-A7867539C351}</author>
    <author>tc={DD589328-7F65-274C-8904-3DFE0308D963}</author>
    <author>tc={05C538F3-E4CB-FC40-BB89-A38D328E7843}</author>
    <author>tc={EEBE557D-358A-2A4F-AE4C-FB8BB26F20D2}</author>
    <author>tc={6B59D60B-35E5-CA42-9CCC-272EB3583765}</author>
    <author>tc={379F4241-811C-6B4B-BC0D-A4E206AA6EFF}</author>
    <author>tc={039A8494-846F-D748-8556-F8FAF07918D2}</author>
    <author>tc={8DE0758F-D3C5-C046-8BB4-20199D02010E}</author>
    <author>tc={44344E09-D491-EF4C-8EE9-B20F0C04E283}</author>
    <author>tc={8C46023D-B4E9-874B-9694-76EB22395E01}</author>
    <author>tc={563553D6-23CD-1148-A94E-A56685CB5341}</author>
    <author>tc={41B73A23-311B-5943-AD27-0F86380E12E5}</author>
    <author>tc={698FE222-5651-8C41-BE58-431DDAADC3DB}</author>
    <author>tc={D62EF18D-7BB3-0E47-8603-02AAD02B1B69}</author>
    <author>tc={FD648845-5258-0541-A6FC-8BB2C3646651}</author>
    <author>tc={79E3BBA8-5406-804D-98F0-B57271224BC9}</author>
    <author>tc={F6E88FE5-808F-834C-B8F8-4A53EE3F0688}</author>
    <author>tc={CC64338A-E195-144D-9986-88E2818317CF}</author>
    <author>tc={C50A99D8-7A4F-1546-A7DC-45A4CB02B1D5}</author>
    <author>tc={DB6A3308-567C-964E-8656-FA47D76C8BAC}</author>
    <author>tc={885293CE-0937-8743-965F-31089A1B6FE7}</author>
    <author>tc={D091F733-95BE-294B-959E-322BECBE0A4B}</author>
    <author>tc={D2A5C793-EFE4-B149-A082-4AFE0CADFC52}</author>
    <author>tc={429F6A2C-7EB9-974D-B97A-7A1A32CAFB1F}</author>
    <author>tc={96318EDB-C478-4F4A-B70F-07FAC12B1CB8}</author>
    <author>tc={7DC587BD-E38D-F340-800C-5420ED7C429D}</author>
    <author>tc={08255870-AF63-3D4F-BCC4-B98D606563E0}</author>
    <author>tc={EE6BE5C2-B2B3-DC44-A42D-26446A2BDEFC}</author>
  </authors>
  <commentList>
    <comment ref="A4" authorId="0" shapeId="0" xr:uid="{95CA0B4F-13AF-5A45-87DD-100AF217E77F}">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Indiquez la quantité de combustibles utilisés durant l'année dans une fournaise, une génératrice ou/et une autre machine non mobile.</t>
      </text>
    </comment>
    <comment ref="A12" authorId="1" shapeId="0" xr:uid="{41205252-CBEE-8A4E-B0E4-BE50F749D4EE}">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Indiquez la quantité de carburant utilisé durant l’année dans les véhicules.</t>
      </text>
    </comment>
    <comment ref="A20" authorId="2" shapeId="0" xr:uid="{6DEDB650-D531-EE44-A16D-F4BB07995857}">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Option: Si vous connaissez la distance (en KM) de votre véhicule</t>
      </text>
    </comment>
    <comment ref="A21" authorId="3" shapeId="0" xr:uid="{CAED6094-F226-7C4C-8CB1-2297C90F53FC}">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Option: Si vous connaissez la distance (en KM) de votre véhicule</t>
      </text>
    </comment>
    <comment ref="A22" authorId="4" shapeId="0" xr:uid="{89AC0745-67B1-334F-BD4C-C26B1A922166}">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Option: Si vous connaissez la distance (en KM) de votre véhicule</t>
      </text>
    </comment>
    <comment ref="A23" authorId="5" shapeId="0" xr:uid="{F3D66AD2-7663-4E47-B277-E57BB0797BEA}">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Option: Si vous connaissez la distance (en KM) de votre véhicule</t>
      </text>
    </comment>
    <comment ref="A25" authorId="6" shapeId="0" xr:uid="{A50348A9-FA7F-E24D-A832-46CF86E3E329}">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Indiquez la quantité de liquide de climatisation ou de réfrigération ajouté dans les réfrigérateurs et le système de climatisation. Il a un menu déroulant pour le choix des liquides.</t>
      </text>
    </comment>
    <comment ref="J28" authorId="7" shapeId="0" xr:uid="{99C4D392-3EE1-1C43-974D-6F7F43711201}">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Comptabiliser le nombre de clients en provenance de courtes, moyennes et longues distances</t>
      </text>
    </comment>
    <comment ref="A30" authorId="8" shapeId="0" xr:uid="{71B97EB1-398A-054B-9631-9A89E8B9FED8}">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Si vous n'avez pas la quantité de liquide ajouté, utilisez cette option qui est le facteur de perte/an suggéré par le guide de quantitification de GES. 
Dans la colonne B indiquer le nombre d'appareils et dans la colonne C (optionnel), indiquez le nombre d'années 
</t>
      </text>
    </comment>
    <comment ref="J32" authorId="9" shapeId="0" xr:uid="{9C30E672-B7F7-E948-8C41-C6489E31A06F}">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Proportion de calcul pour les distances: 
- Courte distance 100 km et moins (100% des émissions) 
- Moyenne distance 101 à 800 km (50% des émissions) 
- Longue distance de + 801 km (25% des émissions)
Pour faciliter la comptabilisation, les hypothèses de distance ont été établie, c’est pour cette raison que le FÉ est par KM et qu’on ajoute le nombre de personne.</t>
      </text>
    </comment>
    <comment ref="A34" authorId="10" shapeId="0" xr:uid="{47AC0DA9-8882-434F-9E48-212F55E76008}">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Indiquez la quantité d'électricité consommée annuellement par vos installations.</t>
      </text>
    </comment>
    <comment ref="J39" authorId="11" shapeId="0" xr:uid="{86D56667-F0D1-294A-B440-5B86578C6168}">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Les émissions totales seront comptabilisées dans l’onglet sommaire des émissions et tiendra compte du covoiturage. Donc pour avoir l’empreinte carbone des déplacements des employés domicile-travail, veuillez consulter l’onglet sommaire des émissions.</t>
      </text>
    </comment>
    <comment ref="T39" authorId="12" shapeId="0" xr:uid="{652E8C1C-DA11-7E44-A0E6-D3D9D8D1F2D7}">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Indiquez le nombre de personnes qui se sont déplacées, le type de véhicules et le nombre de kilomètres parcourus. Si c’est un voyage d’affaires, indiquez le nombre de kilomètres parcourus aller et retour. Si c’est du déplacement d’employé domicile-travail, indiquez la quantité totale de kilomètres parcourus durant l’année.
NB: Dans la colonne R indiquez le nom des employés</t>
      </text>
    </comment>
    <comment ref="U39" authorId="13" shapeId="0" xr:uid="{F68A8E6E-F97E-9943-96F1-B70B89DB9E55}">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Insérer le nombre de personne dans cette colonne, si vous écrivez le nom des employés la formule ne fonctionnera pas </t>
      </text>
    </comment>
    <comment ref="V39" authorId="14" shapeId="0" xr:uid="{896F53FB-8BE3-364B-A141-A2CBD01E4E58}">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Utiliser le menu déroulant pour indiquer le mode de transport. Si vous mentionnez un mode de transport qui n’existe pas dans le menu déroulant, la formule ne marchera pas </t>
      </text>
    </comment>
    <comment ref="AB39" authorId="15" shapeId="0" xr:uid="{BD5DE98D-2AC3-604E-8605-87121F9410AA}">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Calculateur du covoiturage pour les automobiles, véhicules hybrides et électriques. Le chiffre comptabilise les émissions de GES d’une seule personne</t>
      </text>
    </comment>
    <comment ref="AG39" authorId="16" shapeId="0" xr:uid="{93CF6D35-FFC3-ED47-8BA1-895B2199BED3}">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Ajouter ici la distance totale parcourue moyenne pour l'ensemble de vos clients pour chacun des modes de transport utilisés</t>
      </text>
    </comment>
    <comment ref="AJ39" authorId="17" shapeId="0" xr:uid="{58551C67-F0F8-4E43-8923-ACE5085E50B4}">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Déplacement de 100km et moins: 100% des GES attribués à l’entreprise.
De 101 à 800km: 50% des GES attribués à l’entreprise
801km et plus: 25% des GES attribués à l’entreprise </t>
      </text>
    </comment>
    <comment ref="J40" authorId="18" shapeId="0" xr:uid="{06BF240D-1BCC-614C-97A3-32A105EC48CD}">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ndiquez le nombre de personnes qui se sont déplacées, le type de véhicules et le nombre de kilomètres parcourus. Si c’est un voyage d’affaires, indiquez le nombre de kilomètres parcourus aller et retour. Si c’est du déplacement d’employé domicile-travail, indiquez la quantité totale de kilomètres parcourus durant l’année.
NB: Inscrire le nom des personnes dans la colonne I 
</t>
      </text>
    </comment>
    <comment ref="K40" authorId="19" shapeId="0" xr:uid="{A07B7B96-42AD-FF46-B0CD-6CB0F2A2A618}">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Incrire uniquement le nombre de passagers par véhicule dans cette colonne. Ne pas inscrire de noms ou prénoms la formule ne fonctionnera pas </t>
      </text>
    </comment>
    <comment ref="R40" authorId="20" shapeId="0" xr:uid="{1DA9B968-CA31-D54B-9421-7D555EECFB03}">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Calculateur du covoiturage pour les automobiles, véhicules hybrides et électriques. Le chiffre comptabilise les émissions de GES d’une seule personne</t>
      </text>
    </comment>
    <comment ref="AD40" authorId="21" shapeId="0" xr:uid="{1E5A4DCA-686D-C64D-850C-563FC9B13C43}">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EPA - normes de vérificationISO-14064</t>
      </text>
    </comment>
    <comment ref="A43" authorId="22" shapeId="0" xr:uid="{900BFF37-B3C6-8E4A-933F-B090F9EC29DA}">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Indiquez le nombre de bacs envoyés, annuellement, dans les filières d’élimination et récupération.</t>
      </text>
    </comment>
    <comment ref="D43" authorId="23" shapeId="0" xr:uid="{56E86936-8B2D-0E4C-A34A-1A5E215AD53B}">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Inscrire la distance (en chiffre) au site en km. 
Si vous n’avez pas la donnée laissez la cellule vide, n’inscrivez surtout pas 0 le calcul ne fonctionnera pas </t>
      </text>
    </comment>
    <comment ref="AF47" authorId="24" shapeId="0" xr:uid="{0AAD176A-127E-B04F-B849-7ABF66B46707}">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augmentation de 10% de consommation</t>
      </text>
    </comment>
    <comment ref="A49" authorId="25" shapeId="0" xr:uid="{41B07C10-5F79-7745-99BB-6D208591FE01}">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Insérer le nombre de minutes de l’évènement que vous avez effectuer dans le mois ou l’année (en fonction de comment vous comptabilisez vos émissions de GES (base mensuelle ou annuelle). 
Si vos évènements durent approximativement le même temps, je vous recommande d’utiliser la colonne D et d’inscrire le nombre d’évènements que vous avez tenus dans le mois ou l’année</t>
      </text>
    </comment>
    <comment ref="AE52" authorId="26" shapeId="0" xr:uid="{853ED0BC-4947-7840-B798-7D9D2AC49CF5}">
      <text>
        <r>
          <rPr>
            <b/>
            <sz val="10"/>
            <color rgb="FF000000"/>
            <rFont val="Tahoma"/>
            <family val="2"/>
          </rPr>
          <t>Benbelaid Yasmine:</t>
        </r>
        <r>
          <rPr>
            <sz val="10"/>
            <color rgb="FF000000"/>
            <rFont val="Tahoma"/>
            <family val="2"/>
          </rPr>
          <t xml:space="preserve">
</t>
        </r>
        <r>
          <rPr>
            <sz val="10"/>
            <color rgb="FF000000"/>
            <rFont val="Tahoma"/>
            <family val="2"/>
          </rPr>
          <t>Meilleure donnée disponible est par heure</t>
        </r>
      </text>
    </comment>
    <comment ref="AG52" authorId="26" shapeId="0" xr:uid="{3C4FDC8F-B8BE-4949-8461-E625B4B24340}">
      <text>
        <r>
          <rPr>
            <b/>
            <sz val="10"/>
            <color rgb="FF000000"/>
            <rFont val="Tahoma"/>
            <family val="2"/>
          </rPr>
          <t>Benbelaid Yasmine:</t>
        </r>
        <r>
          <rPr>
            <sz val="10"/>
            <color rgb="FF000000"/>
            <rFont val="Tahoma"/>
            <family val="2"/>
          </rPr>
          <t xml:space="preserve">
</t>
        </r>
        <r>
          <rPr>
            <sz val="10"/>
            <color rgb="FF000000"/>
            <rFont val="Tahoma"/>
            <family val="2"/>
          </rPr>
          <t xml:space="preserve">Pour le traversier, insérer le nombre d'heures totale passées sur le traversier. 
</t>
        </r>
        <r>
          <rPr>
            <sz val="10"/>
            <color rgb="FF000000"/>
            <rFont val="Tahoma"/>
            <family val="2"/>
          </rPr>
          <t>Si vous passez moins d'1h, inscrivez le nombre de minutes de cette façon (30min = 0.5)</t>
        </r>
      </text>
    </comment>
    <comment ref="A60" authorId="27" shapeId="0" xr:uid="{6DBE1396-B8AC-FC42-B263-A7867539C351}">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Indiquez la quantité en nombre pour chaque produit. Pour le mobilier et autre produit non-consommable, indiquez le nombre d’année dans la colonne D  pour avoir un calcul en ACV </t>
      </text>
    </comment>
    <comment ref="A64" authorId="28" shapeId="0" xr:uid="{DD589328-7F65-274C-8904-3DFE0308D963}">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Pour un contenant régulier d’environ 1L</t>
      </text>
    </comment>
    <comment ref="A65" authorId="29" shapeId="0" xr:uid="{05C538F3-E4CB-FC40-BB89-A38D328E7843}">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Pour une bouteille régulière de 700 ml</t>
      </text>
    </comment>
    <comment ref="A71" authorId="30" shapeId="0" xr:uid="{EEBE557D-358A-2A4F-AE4C-FB8BB26F20D2}">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d’un ordinateur de bureau entre 5 et 8 ans; évidemment cela dépends du matériel, de l’entretient et de plusieurs autres facteurs </t>
      </text>
    </comment>
    <comment ref="A72" authorId="31" shapeId="0" xr:uid="{6B59D60B-35E5-CA42-9CCC-272EB3583765}">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d’un ordinateur portable entre 6 et 10 ans; évidemment cela dépends du matériel, de l’entretient et de plusieurs autres facteurs </t>
      </text>
    </comment>
    <comment ref="A73" authorId="32" shapeId="0" xr:uid="{379F4241-811C-6B4B-BC0D-A4E206AA6EFF}">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d’un bureau en bois est de 10 ans; évidemment cela dépends du matériel, de l’entretient et de plusieurs autres facteurs </t>
      </text>
    </comment>
    <comment ref="A74" authorId="33" shapeId="0" xr:uid="{039A8494-846F-D748-8556-F8FAF07918D2}">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environ 7 ans; évidemment cela dépends du matériel, de l’entretient et de plusieurs autres facteurs </t>
      </text>
    </comment>
    <comment ref="A75" authorId="34" shapeId="0" xr:uid="{8DE0758F-D3C5-C046-8BB4-20199D02010E}">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d’une chaise de bureau générique de 10 ans; évidemment cela dépends du matériel, de l’entretient et de plusieurs autres facteurs </t>
      </text>
    </comment>
    <comment ref="A76" authorId="35" shapeId="0" xr:uid="{44344E09-D491-EF4C-8EE9-B20F0C04E283}">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d’une table de conférence environ 10 ans, évidemment cela dépends du matériel, de l’entretient et de plusieurs autres facteurs </t>
      </text>
    </comment>
    <comment ref="A77" authorId="36" shapeId="0" xr:uid="{8C46023D-B4E9-874B-9694-76EB22395E01}">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5 ans, selon l’utilisation, des mises à jours </t>
      </text>
    </comment>
    <comment ref="A78" authorId="37" shapeId="0" xr:uid="{563553D6-23CD-1148-A94E-A56685CB5341}">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5 ans, selon l’utilisation, des mises à jours </t>
      </text>
    </comment>
    <comment ref="A79" authorId="38" shapeId="0" xr:uid="{41B73A23-311B-5943-AD27-0F86380E12E5}">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5 ans, selon l’utilisation, des mises à jours </t>
      </text>
    </comment>
    <comment ref="A80" authorId="39" shapeId="0" xr:uid="{698FE222-5651-8C41-BE58-431DDAADC3DB}">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6 ans </t>
      </text>
    </comment>
    <comment ref="A81" authorId="40" shapeId="0" xr:uid="{D62EF18D-7BB3-0E47-8603-02AAD02B1B69}">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 2 à 4 ans en fonction des modèles </t>
      </text>
    </comment>
    <comment ref="A82" authorId="41" shapeId="0" xr:uid="{FD648845-5258-0541-A6FC-8BB2C3646651}">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30 ans </t>
      </text>
    </comment>
    <comment ref="A83" authorId="42" shapeId="0" xr:uid="{79E3BBA8-5406-804D-98F0-B57271224BC9}">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5 et 7 ans; selon l’utilisation </t>
      </text>
    </comment>
    <comment ref="A84" authorId="43" shapeId="0" xr:uid="{F6E88FE5-808F-834C-B8F8-4A53EE3F0688}">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5 et 7 ans; selon l’utilisation </t>
      </text>
    </comment>
    <comment ref="A86" authorId="44" shapeId="0" xr:uid="{CC64338A-E195-144D-9986-88E2818317CF}">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5 ans </t>
      </text>
    </comment>
    <comment ref="A87" authorId="45" shapeId="0" xr:uid="{C50A99D8-7A4F-1546-A7DC-45A4CB02B1D5}">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5 et 8 ans </t>
      </text>
    </comment>
    <comment ref="A88" authorId="46" shapeId="0" xr:uid="{DB6A3308-567C-964E-8656-FA47D76C8BAC}">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7 et 8 ans </t>
      </text>
    </comment>
    <comment ref="A89" authorId="47" shapeId="0" xr:uid="{885293CE-0937-8743-965F-31089A1B6FE7}">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6 ans </t>
      </text>
    </comment>
    <comment ref="A90" authorId="48" shapeId="0" xr:uid="{D091F733-95BE-294B-959E-322BECBE0A4B}">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10 ans </t>
      </text>
    </comment>
    <comment ref="A91" authorId="49" shapeId="0" xr:uid="{D2A5C793-EFE4-B149-A082-4AFE0CADFC52}">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10 ans </t>
      </text>
    </comment>
    <comment ref="A92" authorId="50" shapeId="0" xr:uid="{429F6A2C-7EB9-974D-B97A-7A1A32CAFB1F}">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10 ans </t>
      </text>
    </comment>
    <comment ref="A93" authorId="51" shapeId="0" xr:uid="{96318EDB-C478-4F4A-B70F-07FAC12B1CB8}">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10 ans </t>
      </text>
    </comment>
    <comment ref="A94" authorId="52" shapeId="0" xr:uid="{7DC587BD-E38D-F340-800C-5420ED7C429D}">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5 ans </t>
      </text>
    </comment>
    <comment ref="A96" authorId="53" shapeId="0" xr:uid="{08255870-AF63-3D4F-BCC4-B98D606563E0}">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9 ans, selon l’utilisation et l’entretient</t>
      </text>
    </comment>
    <comment ref="A97" authorId="54" shapeId="0" xr:uid="{EE6BE5C2-B2B3-DC44-A42D-26446A2BDEFC}">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5 ans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tc={A892AFDD-A011-1E40-87D4-CC82FD104374}</author>
    <author>tc={140C78FD-A3F3-2543-94EC-FAB5CDC55239}</author>
    <author>tc={8DF4B95D-A5B3-5948-8326-1C1025A0AFFB}</author>
    <author>tc={86013342-F5D6-EC4E-923E-B22F7EC3AD8F}</author>
    <author>tc={96F88B84-FB58-9B4F-B624-4E9F87442E17}</author>
    <author>tc={50FBD306-10E9-5343-BFF3-9A9E1A08A666}</author>
    <author>tc={CCCA84C1-12C4-7C41-A010-8E5B92BDB0E4}</author>
    <author>tc={BAD88F21-42B4-E14D-A9A6-19E76F5C23D3}</author>
    <author>tc={C85139DE-734C-A74E-93E9-C8CE597CFF7B}</author>
    <author>tc={084A40FC-E6E9-2D46-AA54-CE24DD3D0769}</author>
    <author>tc={6FABE610-80F4-C442-95F1-6EB0858601DA}</author>
    <author>tc={28674A15-8215-9941-B565-7219AF0F6AFB}</author>
    <author>tc={F335985B-558F-BE4E-B5AF-88914BF79C62}</author>
    <author>tc={E11B0309-7ABA-EF4F-B71B-F49FC94C2C46}</author>
    <author>tc={B29DBC34-49AD-6C40-9D9F-A409673E6745}</author>
    <author>tc={FAD085DD-878A-9C4E-B3A0-3E734C154DAF}</author>
  </authors>
  <commentList>
    <comment ref="A3" authorId="0" shapeId="0" xr:uid="{A892AFDD-A011-1E40-87D4-CC82FD104374}">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 5 ans </t>
      </text>
    </comment>
    <comment ref="A4" authorId="1" shapeId="0" xr:uid="{140C78FD-A3F3-2543-94EC-FAB5CDC55239}">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74 à 100 jours d’utilisation</t>
      </text>
    </comment>
    <comment ref="A5" authorId="2" shapeId="0" xr:uid="{8DF4B95D-A5B3-5948-8326-1C1025A0AFFB}">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basée sur d'environ 14 ans basé, environ 3-4h de navigation par sortie </t>
      </text>
    </comment>
    <comment ref="A6" authorId="3" shapeId="0" xr:uid="{86013342-F5D6-EC4E-923E-B22F7EC3AD8F}">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 5 ans selon les normes de sécurité, il faut changer son casque chaque 5 ans</t>
      </text>
    </comment>
    <comment ref="A7" authorId="4" shapeId="0" xr:uid="{96F88B84-FB58-9B4F-B624-4E9F87442E17}">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12 ans. 1 an renouvellement de la batterie au cours de la durée de vie du produit. Basé sur le scénario suivant: 2500 km par an avec une charge toute les 40km parcouru et une durée de la batterie pleine charge de 400 charge</t>
      </text>
    </comment>
    <comment ref="A8" authorId="5" shapeId="0" xr:uid="{50FBD306-10E9-5343-BFF3-9A9E1A08A666}">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Hypothèse: Durée entre 5 et 10 ans</t>
      </text>
    </comment>
    <comment ref="A9" authorId="6" shapeId="0" xr:uid="{CCCA84C1-12C4-7C41-A010-8E5B92BDB0E4}">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Pour 1 portion</t>
      </text>
    </comment>
    <comment ref="A10" authorId="7" shapeId="0" xr:uid="{BAD88F21-42B4-E14D-A9A6-19E76F5C23D3}">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Pour 1 portion</t>
      </text>
    </comment>
    <comment ref="A11" authorId="8" shapeId="0" xr:uid="{C85139DE-734C-A74E-93E9-C8CE597CFF7B}">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Refuge éco-construit à base de bois, paille, pierre et terre - Entrer le nombre de refuges que vous avez</t>
      </text>
    </comment>
    <comment ref="A13" authorId="9" shapeId="0" xr:uid="{084A40FC-E6E9-2D46-AA54-CE24DD3D0769}">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Générique, durée de vie d'environ de 5 ans </t>
      </text>
    </comment>
    <comment ref="A14" authorId="10" shapeId="0" xr:uid="{6FABE610-80F4-C442-95F1-6EB0858601DA}">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 plus de 20 ans si bien entretenue</t>
      </text>
    </comment>
    <comment ref="A15" authorId="11" shapeId="0" xr:uid="{28674A15-8215-9941-B565-7219AF0F6AFB}">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 5 ans environ</t>
      </text>
    </comment>
    <comment ref="A16" authorId="12" shapeId="0" xr:uid="{F335985B-558F-BE4E-B5AF-88914BF79C62}">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7 et 10 ans </t>
      </text>
    </comment>
    <comment ref="A17" authorId="13" shapeId="0" xr:uid="{E11B0309-7ABA-EF4F-B71B-F49FC94C2C46}">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Hypothèse: Durée de vie entre 7 et 10 ans </t>
      </text>
    </comment>
    <comment ref="A18" authorId="14" shapeId="0" xr:uid="{B29DBC34-49AD-6C40-9D9F-A409673E6745}">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10 ans</t>
      </text>
    </comment>
    <comment ref="A19" authorId="15" shapeId="0" xr:uid="{FAD085DD-878A-9C4E-B3A0-3E734C154DAF}">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7 et 10 ans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tc={FB4455D0-C7BB-974D-B62D-83E5F244A22B}</author>
    <author>tc={E2429EB0-DDCA-704A-9177-96DBDDC51C62}</author>
    <author>tc={BA60C6C0-CA2A-DC43-A1AD-742F3ACEE60B}</author>
    <author>tc={0D879B78-83FC-1346-AE5E-F56D01623DA2}</author>
    <author>tc={5DACE37F-3F9D-5742-9E2E-265E108F4DD5}</author>
    <author>tc={BB360526-4E84-ED49-B0AE-F944E40D468D}</author>
    <author>tc={FB139C46-A1AB-DB49-B184-922859AF4586}</author>
    <author>tc={D1E3DE5D-63BD-F94E-B057-910563C3D12C}</author>
    <author>tc={EDABE9A3-76B3-E34D-B30E-9974DD9DB369}</author>
    <author>tc={E7C8ADDD-1DE4-324F-A947-6BC2B6A7FB25}</author>
  </authors>
  <commentList>
    <comment ref="A3" authorId="0" shapeId="0" xr:uid="{FB4455D0-C7BB-974D-B62D-83E5F244A22B}">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Il est difficile d’estimer la durée de vie moyenne d’une assiette</t>
      </text>
    </comment>
    <comment ref="A4" authorId="1" shapeId="0" xr:uid="{E2429EB0-DDCA-704A-9177-96DBDDC51C62}">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Il est difficile d’estimer la durée de vie moyenne d’un verre</t>
      </text>
    </comment>
    <comment ref="A5" authorId="2" shapeId="0" xr:uid="{BA60C6C0-CA2A-DC43-A1AD-742F3ACEE60B}">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Il est difficile d’estimer la durée de vie moyenne d’ustensiles</t>
      </text>
    </comment>
    <comment ref="A6" authorId="3" shapeId="0" xr:uid="{0D879B78-83FC-1346-AE5E-F56D01623DA2}">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5 ans</t>
      </text>
    </comment>
    <comment ref="A7" authorId="4" shapeId="0" xr:uid="{5DACE37F-3F9D-5742-9E2E-265E108F4DD5}">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d’environ 15 ans </t>
      </text>
    </comment>
    <comment ref="A8" authorId="5" shapeId="0" xr:uid="{BB360526-4E84-ED49-B0AE-F944E40D468D}">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environ 15 ans </t>
      </text>
    </comment>
    <comment ref="A9" authorId="6" shapeId="0" xr:uid="{FB139C46-A1AB-DB49-B184-922859AF4586}">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environ 15 ans </t>
      </text>
    </comment>
    <comment ref="A10" authorId="7" shapeId="0" xr:uid="{D1E3DE5D-63BD-F94E-B057-910563C3D12C}">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environ 15 ans </t>
      </text>
    </comment>
    <comment ref="A11" authorId="8" shapeId="0" xr:uid="{EDABE9A3-76B3-E34D-B30E-9974DD9DB369}">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environ 15 ans </t>
      </text>
    </comment>
    <comment ref="A12" authorId="9" shapeId="0" xr:uid="{E7C8ADDD-1DE4-324F-A947-6BC2B6A7FB25}">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environ 15 ans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tc={8315063F-EB52-3C4C-BE54-95D4889F2502}</author>
    <author>tc={C341D358-8324-3848-BF46-A9E04C4307A0}</author>
    <author>tc={35F06624-F527-384F-BCFA-2418B9099377}</author>
    <author>tc={539CF0AF-A37F-EA4B-B614-F1EE99F76783}</author>
    <author>tc={2BBF11C0-F42D-7046-BC37-2F4C9D6B5C17}</author>
    <author>tc={A794F399-2735-8944-8621-1843F6E2B9C6}</author>
    <author>tc={FAB48342-14C9-2F43-99B1-47B46D559D5D}</author>
    <author>tc={DE43A70C-CA83-BE4E-99D4-27C1DB5B9A93}</author>
    <author>tc={5D2268D5-09C5-7A43-8621-FB32D10CA516}</author>
    <author>tc={5EA80927-0B2E-6747-8318-A121C97A5A48}</author>
    <author>tc={DDA1F302-ABF7-724B-A0B6-257424B0053E}</author>
    <author>tc={1F4B694A-2393-ED41-AEA4-DB67937E756E}</author>
    <author>tc={600CC421-4C91-2B4F-8F56-EFBF7AC6A302}</author>
    <author>tc={72F014DA-11B0-EE44-943D-8DCDCD936672}</author>
    <author>tc={C4C81206-8371-284F-916C-8F2E6CEAD37D}</author>
    <author>tc={1E99F2FA-3F25-2343-B600-17582E5E879C}</author>
    <author>tc={BC690135-5A46-ED40-A1E3-B5438B670A09}</author>
    <author>tc={A41311A1-79C9-6541-9348-CBAF11C24746}</author>
  </authors>
  <commentList>
    <comment ref="A3" authorId="0" shapeId="0" xr:uid="{8315063F-EB52-3C4C-BE54-95D4889F2502}">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 5 à 15 ans</t>
      </text>
    </comment>
    <comment ref="A4" authorId="1" shapeId="0" xr:uid="{C341D358-8324-3848-BF46-A9E04C4307A0}">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de départ: Durée de vie de 10 ans</t>
      </text>
    </comment>
    <comment ref="A5" authorId="2" shapeId="0" xr:uid="{35F06624-F527-384F-BCFA-2418B9099377}">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 5 à 15 ans</t>
      </text>
    </comment>
    <comment ref="A6" authorId="3" shapeId="0" xr:uid="{539CF0AF-A37F-EA4B-B614-F1EE99F76783}">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8 et 10 ans </t>
      </text>
    </comment>
    <comment ref="A7" authorId="4" shapeId="0" xr:uid="{2BBF11C0-F42D-7046-BC37-2F4C9D6B5C17}">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15 à 20 ans</t>
      </text>
    </comment>
    <comment ref="A8" authorId="5" shapeId="0" xr:uid="{A794F399-2735-8944-8621-1843F6E2B9C6}">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de départ: Durée de vie entre 8 et 10 ans </t>
      </text>
    </comment>
    <comment ref="A9" authorId="6" shapeId="0" xr:uid="{FAB48342-14C9-2F43-99B1-47B46D559D5D}">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de départ: Durée de vie de 5 ans</t>
      </text>
    </comment>
    <comment ref="A10" authorId="7" shapeId="0" xr:uid="{DE43A70C-CA83-BE4E-99D4-27C1DB5B9A93}">
      <text>
        <t xml:space="preserve">[Commentaire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de départ: Durée de vie de 5 ans </t>
      </text>
    </comment>
    <comment ref="A11" authorId="8" shapeId="0" xr:uid="{5D2268D5-09C5-7A43-8621-FB32D10CA516}">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15 à 20 ans</t>
      </text>
    </comment>
    <comment ref="A12" authorId="9" shapeId="0" xr:uid="{5EA80927-0B2E-6747-8318-A121C97A5A48}">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Difficile de déterminer la durée de vie de cet item</t>
      </text>
    </comment>
    <comment ref="A13" authorId="10" shapeId="0" xr:uid="{DDA1F302-ABF7-724B-A0B6-257424B0053E}">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Difficile de déterminer la durée de vie de cet item</t>
      </text>
    </comment>
    <comment ref="A14" authorId="11" shapeId="0" xr:uid="{1F4B694A-2393-ED41-AEA4-DB67937E756E}">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Difficile de déterminer la durée de vie de cet item</t>
      </text>
    </comment>
    <comment ref="A15" authorId="12" shapeId="0" xr:uid="{600CC421-4C91-2B4F-8F56-EFBF7AC6A302}">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Difficile de déterminer la durée de vie de cet item</t>
      </text>
    </comment>
    <comment ref="A16" authorId="13" shapeId="0" xr:uid="{72F014DA-11B0-EE44-943D-8DCDCD936672}">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15 à 20 ans</t>
      </text>
    </comment>
    <comment ref="A17" authorId="14" shapeId="0" xr:uid="{C4C81206-8371-284F-916C-8F2E6CEAD37D}">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15 à 20 ans</t>
      </text>
    </comment>
    <comment ref="A18" authorId="15" shapeId="0" xr:uid="{1E99F2FA-3F25-2343-B600-17582E5E879C}">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entre 15 à 20 ans</t>
      </text>
    </comment>
    <comment ref="A19" authorId="16" shapeId="0" xr:uid="{BC690135-5A46-ED40-A1E3-B5438B670A09}">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 maximum 30 ans</t>
      </text>
    </comment>
    <comment ref="A20" authorId="17" shapeId="0" xr:uid="{A41311A1-79C9-6541-9348-CBAF11C24746}">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Durée de vie de maximum 30 ans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tc={F10C5D98-7C99-454B-ABD7-CD77756D412F}</author>
    <author>tc={BA869D05-DDCB-4C20-9562-C183201C977F}</author>
    <author>tc={66F0BA46-7054-3D40-A926-F1DA9A594623}</author>
  </authors>
  <commentList>
    <comment ref="A86" authorId="0" shapeId="0" xr:uid="{F10C5D98-7C99-454B-ABD7-CD77756D412F}">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EPA - normes de vérificationISO-14064</t>
      </text>
    </comment>
    <comment ref="C91" authorId="1" shapeId="0" xr:uid="{BA869D05-DDCB-4C20-9562-C183201C977F}">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Hypothèse de 2 par véhicule</t>
      </text>
    </comment>
    <comment ref="C94" authorId="2" shapeId="0" xr:uid="{66F0BA46-7054-3D40-A926-F1DA9A594623}">
      <text>
        <t>[Commentaire lié à un fil de discussion]
Votre version d’Excel vous permet de lire ce commentaire lié à un fil de discussion. Toutefois, les modifications qui y sont apportées seront supprimées si le fichier est ouvert dans une version plus récente d’Excel. En savoir plus : https://go.microsoft.com/fwlink/?linkid=870924
Commentaire :
    augmentation de 10% de consommation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<sst xmlns="http://schemas.openxmlformats.org/spreadsheetml/2006/main" count="1434" uniqueCount="592">
  <si>
    <t>Indiquez le nom de votre entreprise et un estimé de votre clientèle annuelle</t>
  </si>
  <si>
    <t>Nom de l'entreprise</t>
  </si>
  <si>
    <t xml:space="preserve">Clientèle annuelle </t>
  </si>
  <si>
    <t>nb de clients</t>
  </si>
  <si>
    <t xml:space="preserve">Calculateur Restauration </t>
  </si>
  <si>
    <t>nb de client</t>
  </si>
  <si>
    <t>nb de nuitées</t>
  </si>
  <si>
    <t>Nuitées</t>
  </si>
  <si>
    <t>Calculateur Général et Plein-air</t>
  </si>
  <si>
    <t>Combustion mobile</t>
  </si>
  <si>
    <t>References</t>
  </si>
  <si>
    <t>Diesel - Combustion dans les sources mobiles (par litre)</t>
  </si>
  <si>
    <t>Q-2, r. 15 - QC.27. table 27-1</t>
  </si>
  <si>
    <t>Essence - Combustion dans des sources mobiles (par litre)</t>
  </si>
  <si>
    <t>Combustion fixe</t>
  </si>
  <si>
    <t>Essence - Combustion dans les sources mobiles (par litre)</t>
  </si>
  <si>
    <t>Diesel - Combustion dans les sources fixes (par litre)</t>
  </si>
  <si>
    <t>Q-2, r. 15 - QC.1. table 1-3</t>
  </si>
  <si>
    <t>Mazout léger 2 - Combustion dans les sources fixes (par litre)</t>
  </si>
  <si>
    <t>Propane - Combustion dans les sources fixes (par livre)</t>
  </si>
  <si>
    <t>Propane - Combustion dans les sources mobiles (par livre)</t>
  </si>
  <si>
    <t>Gaz naturel - Combustion dans les sources fixes (par m3)</t>
  </si>
  <si>
    <t>Q-2, r. 15 - QC.1. tables 1-4 and 1-7</t>
  </si>
  <si>
    <t>Biomasse - Combustion dans les sources fixes (par tonne sèche)</t>
  </si>
  <si>
    <t>Propane - Combustion fixe (par litre)</t>
  </si>
  <si>
    <t>Facteurs d’émission : utilisation d’équipements de réfrigération et de climatisation</t>
  </si>
  <si>
    <t>GWP</t>
  </si>
  <si>
    <t>Unité</t>
  </si>
  <si>
    <t>Références</t>
  </si>
  <si>
    <t>R-21 or HCFC-21 (CHCl2F) (t)</t>
  </si>
  <si>
    <t>Fifth Assessment Report (AR5)</t>
  </si>
  <si>
    <t>R-22 or HCFC-22 (CHCLF2) (t)</t>
  </si>
  <si>
    <t>R-123 or HCFC-123 (CHCl2CF3) (t)</t>
  </si>
  <si>
    <t>R-124 or HCFC-124 (CHClFCF3) (t)</t>
  </si>
  <si>
    <t>R-141b or HCFC-141b (CH3CCl2F) (t)</t>
  </si>
  <si>
    <t>R-142b or HCFC-142b (CH3CClF2) (t)</t>
  </si>
  <si>
    <t>R-225ca or HCFC-225ca (CHCl2CF2CF3) (t)</t>
  </si>
  <si>
    <t>R-225cb or HCFC-225cb (CHClFCF2CClF2) (t)</t>
  </si>
  <si>
    <t>R-23 or HFC-23 (CHF3) (t)</t>
  </si>
  <si>
    <t>R-32 or HFC-32 (CH2F2) (t)</t>
  </si>
  <si>
    <t>R-41 or HFC-41 (CH3F2) (t)</t>
  </si>
  <si>
    <t>R-125 or HFC-125 (CHF2CF3) (t)</t>
  </si>
  <si>
    <t>R-134 or HFC-134 (CHF2CHF2) (t)</t>
  </si>
  <si>
    <t>R-134a or HFC-134a (CH2FCF3) (t)</t>
  </si>
  <si>
    <t>R-143 or HFC-143 (CH2FCHF2) (t)</t>
  </si>
  <si>
    <t>R-143a or HFC-143a (CH3CF3) (t)</t>
  </si>
  <si>
    <t>R-152 or HFC-152 (CH2FCH2F) (t)</t>
  </si>
  <si>
    <t>R-152a or HFC-152a (CH3CHF2) (t)</t>
  </si>
  <si>
    <t>R-161 or HFC-161 (CH3CH2F) (t)</t>
  </si>
  <si>
    <t>R-227ea or HFC-227ea (CF3CHFCF3) (t)</t>
  </si>
  <si>
    <t>R-236cb or HFC-236cb (CH2FCF2CF3) (t)</t>
  </si>
  <si>
    <t>R-236ea or HFC-236ea (CHF2CHFCF3) (t)</t>
  </si>
  <si>
    <t>R-236 fa or HFC-236fa (CF3CH2CF3) (t)</t>
  </si>
  <si>
    <t>R-245ca or HFC-245ca (CH2FCF2CHF2) (t)</t>
  </si>
  <si>
    <t>R-245fa or HFC-245fa (CHF2CH2CF3) (t)</t>
  </si>
  <si>
    <t>R-365mfc or HFC-365mfc (CH3CF2CH2CF3) (t)</t>
  </si>
  <si>
    <t>R-43-10mee or HFC-43-10mee (CF3CHFCHFCF2CF3) (t)</t>
  </si>
  <si>
    <t>R-404A (44% R-125, 52% R-143a, 4% R-134a) (t)</t>
  </si>
  <si>
    <t>WMO. 2018. Scientific assessment of ozone depletion: 2018, global ozone research and monitoring project–report no. 58. Geneva, Switzerland.</t>
  </si>
  <si>
    <t>R-407A (20% R-32, 40% R-125, 40% R-134a) (t)</t>
  </si>
  <si>
    <t>R-407C (R-32, 25% R-125, 52% R-134a) (t)</t>
  </si>
  <si>
    <t>R-407F (30% R-32, 30% R-125, 40% R-134a) (t)</t>
  </si>
  <si>
    <t>R-410A (50% R-32, 50% R-125) (t)</t>
  </si>
  <si>
    <t>R-446A of L-41 or L-41-1 (68% R-32, 29% R-1234ze(E), 3% isobutane) (t)</t>
  </si>
  <si>
    <t>R-447A or L-41-2 (68% R-32, 3.5% R-125, 28.5 R-1234ze) (t)</t>
  </si>
  <si>
    <t>R-448A (26% R-32, 26% R-125, 20% R-1234yf, 21% R-134a,
7% R-1234ze) (t)</t>
  </si>
  <si>
    <t>R-449A (24.3% R-32, 24.7% R-125, 25.3% R-1234yf, 25.7% R-134a) (t)</t>
  </si>
  <si>
    <t>R-449B (25.2% R-32, 24.3% R-125, 23.2% R-1234yf, 27.3% R-134a) (t)</t>
  </si>
  <si>
    <t>R-450A (58% R-1234ze(E), 42% R-134a) (t)</t>
  </si>
  <si>
    <t>R-452B or DR55 (67% R-32, 7% R-125, 26% R-1234yf) (t)</t>
  </si>
  <si>
    <t>R-459A or ARM71a (68% R-32, 26% R-1234yf, 6% R-1234ze) (t)</t>
  </si>
  <si>
    <t>R-513A (56% R-1234yf, 44% R-134a) (t)</t>
  </si>
  <si>
    <t>DR5 (72.5% R-32, 27.5% R-1234yf) (t)</t>
  </si>
  <si>
    <t>L-41a (73% R-32, 15% R-1234yf, 12% R-1234ze) (t)</t>
  </si>
  <si>
    <t>L-41b (73% R-32, 27% R-1234ze) (t)</t>
  </si>
  <si>
    <t>ARM70a (50% R-32, 10% R-134a, 40% R-1234yf) (t)</t>
  </si>
  <si>
    <t>D2Y60 (40% R-32, 60% R-1234yf) (t)</t>
  </si>
  <si>
    <t>HPR2A (76% R-32, 6% R-134a, 18% 1234ze) (t)</t>
  </si>
  <si>
    <t>HPR1D (60% R-32, 6% CO2, 34% R-1234ze) (t)</t>
  </si>
  <si>
    <t>Électricité</t>
  </si>
  <si>
    <t>Quebec (kWh)</t>
  </si>
  <si>
    <t>t CO2 éq. / kWh</t>
  </si>
  <si>
    <t>Environnement Canada</t>
  </si>
  <si>
    <t>Gaz naturel - Réseaux de vapeur</t>
  </si>
  <si>
    <t>t CO2 éq. / GJ</t>
  </si>
  <si>
    <t xml:space="preserve">Q-2, r. 15 - QC.1. </t>
  </si>
  <si>
    <t>Gestion des déchets</t>
  </si>
  <si>
    <t>Unités</t>
  </si>
  <si>
    <t>Incinération</t>
  </si>
  <si>
    <t>t CO2 éq. / kg</t>
  </si>
  <si>
    <t>ecoinvent 3.8 : treatment of municipal solid waste, incineration | municipal solid waste | Cutoff, U ; QC + municipal waste collection service by 21 metric ton lorry | municipal waste collection service by 21 metric ton lorry | Cutoff, U: hypothèse 60km</t>
  </si>
  <si>
    <t>Enfouissement</t>
  </si>
  <si>
    <t>ecoinvent 3.8 : treatment of municipal solid waste, sanitary landfill | municipal solid waste | Cutoff, U ; QC + municipal waste collection service by 21 metric ton lorry | municipal waste collection service by 21 metric ton lorry | Cutoff, U: hypothèse 60km</t>
  </si>
  <si>
    <t>Récupération</t>
  </si>
  <si>
    <t xml:space="preserve">ICF Consulting (2005). Analyse des effets des activités de gestion des matières résiduelles sur les émissions de gaz à effet de serre: mise à jour de 2005. </t>
  </si>
  <si>
    <t>Repas</t>
  </si>
  <si>
    <t>Repas classique (moyen Bœuf, poulet et végétrien)</t>
  </si>
  <si>
    <t>t CO2éq. Par repas</t>
  </si>
  <si>
    <t>Étude individuelle nationale des consommations alimentaires 3 (INCA 3) - Avis de l’Anses - Rapport d’expertise collective - Juin 2017 Édition scientifique</t>
  </si>
  <si>
    <t>Déplacement longue distance</t>
  </si>
  <si>
    <t xml:space="preserve">Unité </t>
  </si>
  <si>
    <t>ID</t>
  </si>
  <si>
    <t>Avion -Provincial</t>
  </si>
  <si>
    <t>Avion - National et international</t>
  </si>
  <si>
    <t>Automobile</t>
  </si>
  <si>
    <t>Greenhouse Gas Protocol (2017). Compilation of Emission Factors from Cross-Sector Tools. Version March 2020</t>
  </si>
  <si>
    <t>Automobile hybride</t>
  </si>
  <si>
    <t xml:space="preserve">2,37785 kg GES par litre X 4,3 litres/100 km X 1000 =  0,10224755 kg CO2 éq. / km Guide de consommation de carburant 2022 (rncan.gc.ca) </t>
  </si>
  <si>
    <t>Automobile électrique</t>
  </si>
  <si>
    <t xml:space="preserve">CIRAIG (2016). Analyse du cycle de vie comparative des impacts environnementaux potentiels du véhicule électrique et du véhicule conventionnel dans un contexte d’utilisation québécois. Tableau 2-7 : Consommation électrique de divers véhicules. </t>
  </si>
  <si>
    <t>Camionnette/fourgonnette</t>
  </si>
  <si>
    <t>Greenhouse Gas Protocol (2017). Compilation of Emission Factors from Cross-Sector Tools. Version March 2022</t>
  </si>
  <si>
    <t>Camionnette avec roulotte</t>
  </si>
  <si>
    <t>Greenhouse Gas Protocol (2017). Compilation of Emission Factors from Cross-Sector Tools. Version March 2023</t>
  </si>
  <si>
    <t>Motocyclette</t>
  </si>
  <si>
    <t>Greenhouse Gas Protocol (2017). Compilation of Emission Factors from Cross-Sector Tools. Version March 2024</t>
  </si>
  <si>
    <t>Train</t>
  </si>
  <si>
    <t>Greenhouse Gas Protocol (2017). Compilation of Emission Factors from Cross-Sector Tools. Version March 2025</t>
  </si>
  <si>
    <t>Transport actif</t>
  </si>
  <si>
    <t>Métro</t>
  </si>
  <si>
    <t xml:space="preserve"> FAQDD, 2020</t>
  </si>
  <si>
    <t>Camion lourd</t>
  </si>
  <si>
    <t xml:space="preserve">
Greenhouse Gas Protocol (2017). Compilation of Emission Factors from Cross-Sector Tools. Version March 2017</t>
  </si>
  <si>
    <t>Proportion de calcul pour les distances: Courte distance 100km (100% des émissions), Moyenne distance 100 à 800km (50% des émissions), Longue distance + de 800 km (25% des émissions)</t>
  </si>
  <si>
    <t>Achat et service</t>
  </si>
  <si>
    <t>Papier</t>
  </si>
  <si>
    <t>t CO2 éq. / t</t>
  </si>
  <si>
    <t>ADEME Technologies Numériques, Information et Communication</t>
  </si>
  <si>
    <t>Service de messagerie</t>
  </si>
  <si>
    <t>t CO2 éq. / email</t>
  </si>
  <si>
    <t>Ordinateur</t>
  </si>
  <si>
    <t>t CO2 éq. /ordi par année</t>
  </si>
  <si>
    <t>Documentation Base Carbone (ademe.fr)</t>
  </si>
  <si>
    <t>Repas végé</t>
  </si>
  <si>
    <t>Gratin de pâte</t>
  </si>
  <si>
    <t>AGRIBALYSE</t>
  </si>
  <si>
    <t>Repas porc</t>
  </si>
  <si>
    <t xml:space="preserve">Repas à base de porc, de légumes de saisons et de riz </t>
  </si>
  <si>
    <t>ADEME</t>
  </si>
  <si>
    <t>Repas bœuf</t>
  </si>
  <si>
    <t>Repas à base de bœuf et légumes</t>
  </si>
  <si>
    <t xml:space="preserve">Repas poulet </t>
  </si>
  <si>
    <t>Repas à base de poulet, légumes et pâtes</t>
  </si>
  <si>
    <t>Repas poisson</t>
  </si>
  <si>
    <t>Repas à base de saumon, légumes et salade</t>
  </si>
  <si>
    <t xml:space="preserve">Canapé textile </t>
  </si>
  <si>
    <t xml:space="preserve">Canapé cuir </t>
  </si>
  <si>
    <t>Canapé convertible (type sofa lit)</t>
  </si>
  <si>
    <t xml:space="preserve">Sommier tapissier </t>
  </si>
  <si>
    <t xml:space="preserve">Sommier à lattes fixes </t>
  </si>
  <si>
    <t xml:space="preserve">Cadre de lit </t>
  </si>
  <si>
    <t xml:space="preserve">Matelas mousse </t>
  </si>
  <si>
    <t xml:space="preserve">Matelas ressort </t>
  </si>
  <si>
    <t xml:space="preserve">Salon de jardin en bois </t>
  </si>
  <si>
    <t xml:space="preserve">Salon de jardin en métal </t>
  </si>
  <si>
    <t xml:space="preserve">Salon de jardin en résine tressée </t>
  </si>
  <si>
    <t>Telévision (30-40 pouces)</t>
  </si>
  <si>
    <t>Télévision (40-49 pouces)</t>
  </si>
  <si>
    <t>Ordinateur portable</t>
  </si>
  <si>
    <t xml:space="preserve">Ordinateur fixe (bureautique) </t>
  </si>
  <si>
    <t xml:space="preserve">Écran 21, 5 pouces </t>
  </si>
  <si>
    <t xml:space="preserve">Écran 23, 8 pouces </t>
  </si>
  <si>
    <t xml:space="preserve">Tablette classique (9 à 11 pouces) </t>
  </si>
  <si>
    <t xml:space="preserve">Tablette mini ( en bas de 9 pouces) </t>
  </si>
  <si>
    <t xml:space="preserve">Tablette détachables (10-13 pouces) </t>
  </si>
  <si>
    <t>Chaîne HiFi stéréo classique</t>
  </si>
  <si>
    <t xml:space="preserve">Chaîne HiFi Enceinte active Bluetooth </t>
  </si>
  <si>
    <t xml:space="preserve">Modem DSL haut débit </t>
  </si>
  <si>
    <t xml:space="preserve">Modem Fibre haut débit </t>
  </si>
  <si>
    <t xml:space="preserve">Imprimante Laser </t>
  </si>
  <si>
    <t>Imprimante Multifonction jet d'encre</t>
  </si>
  <si>
    <t>Montre connectée</t>
  </si>
  <si>
    <t>Déplacements clients</t>
  </si>
  <si>
    <t>Local (100 km)</t>
  </si>
  <si>
    <t>Hypothèse de déplacement, pas de facteur d'émission</t>
  </si>
  <si>
    <t xml:space="preserve">Région (100 à 800 km ) </t>
  </si>
  <si>
    <t>International (plus 800 km)</t>
  </si>
  <si>
    <t>Équipement</t>
  </si>
  <si>
    <t>Équipements motoriséss</t>
  </si>
  <si>
    <t>Équipements non-motorisés</t>
  </si>
  <si>
    <t>Tableau de conversion des matières résiduelles</t>
  </si>
  <si>
    <t>kg par verge cube</t>
  </si>
  <si>
    <t>kg par mètre cube</t>
  </si>
  <si>
    <t>Compostage</t>
  </si>
  <si>
    <t>kg par 240 litres</t>
  </si>
  <si>
    <t>Portée 1</t>
  </si>
  <si>
    <t>Émissions directes</t>
  </si>
  <si>
    <t>Gaz à effet de serre</t>
  </si>
  <si>
    <t>Combustion fixe (ex: fournaise, génératrice, etc.)</t>
  </si>
  <si>
    <t xml:space="preserve">Diesel/mazout </t>
  </si>
  <si>
    <t>Litres</t>
  </si>
  <si>
    <t>Essence</t>
  </si>
  <si>
    <t xml:space="preserve">Biomasse </t>
  </si>
  <si>
    <t>tonnes sèches</t>
  </si>
  <si>
    <t>Gaz naturel</t>
  </si>
  <si>
    <t>mètres cubes</t>
  </si>
  <si>
    <t>Propane</t>
  </si>
  <si>
    <t>Combustion mobile (ex: véhicule)</t>
  </si>
  <si>
    <t>Diesel</t>
  </si>
  <si>
    <t>Véhicule électrique</t>
  </si>
  <si>
    <t>Km</t>
  </si>
  <si>
    <t>Véhicule hybride</t>
  </si>
  <si>
    <t>Voiture</t>
  </si>
  <si>
    <t>Camion léger (minifourgonette, VUS, camionnette)</t>
  </si>
  <si>
    <t>Fuites de réfrigérants (ex: climatisation, réfrigération)</t>
  </si>
  <si>
    <t>Nb: Si un client a fait venir une compagnie pour ajouter du gaz réfrigérant, il est souvent inscrit sur la facture le type de gaz et le nombre de gramme (consommation annuelle)</t>
  </si>
  <si>
    <t>g</t>
  </si>
  <si>
    <t>Portée 2</t>
  </si>
  <si>
    <t>Émissions indirectes liées à l'énergie</t>
  </si>
  <si>
    <t>Consommation d'énergie</t>
  </si>
  <si>
    <t>kWh</t>
  </si>
  <si>
    <t>Réseau de vapeur (gaz naturel)</t>
  </si>
  <si>
    <t>GJ</t>
  </si>
  <si>
    <t>Portée 3</t>
  </si>
  <si>
    <t>Autres émissions indirectes</t>
  </si>
  <si>
    <t xml:space="preserve">Matières résiduelles </t>
  </si>
  <si>
    <r>
      <t>t CO</t>
    </r>
    <r>
      <rPr>
        <b/>
        <vertAlign val="subscript"/>
        <sz val="14"/>
        <color theme="1"/>
        <rFont val="Calibri"/>
        <family val="2"/>
        <scheme val="minor"/>
      </rPr>
      <t>2</t>
    </r>
    <r>
      <rPr>
        <b/>
        <sz val="14"/>
        <color theme="1"/>
        <rFont val="Calibri"/>
        <family val="2"/>
        <scheme val="minor"/>
      </rPr>
      <t xml:space="preserve"> éq.</t>
    </r>
  </si>
  <si>
    <r>
      <t>t CO</t>
    </r>
    <r>
      <rPr>
        <b/>
        <vertAlign val="subscript"/>
        <sz val="14"/>
        <color theme="1"/>
        <rFont val="Calibri"/>
        <family val="2"/>
        <scheme val="minor"/>
      </rPr>
      <t>2</t>
    </r>
  </si>
  <si>
    <r>
      <t>t CH</t>
    </r>
    <r>
      <rPr>
        <b/>
        <vertAlign val="subscript"/>
        <sz val="14"/>
        <color theme="1"/>
        <rFont val="Calibri"/>
        <family val="2"/>
        <scheme val="minor"/>
      </rPr>
      <t>4</t>
    </r>
  </si>
  <si>
    <r>
      <t>t N</t>
    </r>
    <r>
      <rPr>
        <b/>
        <vertAlign val="subscript"/>
        <sz val="14"/>
        <color theme="1"/>
        <rFont val="Calibri"/>
        <family val="2"/>
        <scheme val="minor"/>
      </rPr>
      <t>2</t>
    </r>
    <r>
      <rPr>
        <b/>
        <sz val="14"/>
        <color theme="1"/>
        <rFont val="Calibri"/>
        <family val="2"/>
        <scheme val="minor"/>
      </rPr>
      <t>O</t>
    </r>
  </si>
  <si>
    <t>Biens actuels</t>
  </si>
  <si>
    <t>Catégories d'émission</t>
  </si>
  <si>
    <t>Combustible fixe</t>
  </si>
  <si>
    <t xml:space="preserve">Vapeur </t>
  </si>
  <si>
    <t>Matières résiduelles</t>
  </si>
  <si>
    <t>Portée 3 - Déplacements</t>
  </si>
  <si>
    <t>Localisation de la clientèle</t>
  </si>
  <si>
    <t>Nbr pers.</t>
  </si>
  <si>
    <t>Déplacements des employés domicile travail</t>
  </si>
  <si>
    <t>Véhicule</t>
  </si>
  <si>
    <t>Distance (km)</t>
  </si>
  <si>
    <t>Déplacements des employés en voyages d'affaires</t>
  </si>
  <si>
    <t>Mode de transport</t>
  </si>
  <si>
    <t>Facteur d'émission</t>
  </si>
  <si>
    <t>Déplacement total/mode de transport</t>
  </si>
  <si>
    <t>Nb de personnes par véhicule</t>
  </si>
  <si>
    <t>Calcul incluant les % d'émissions en fonction des distances</t>
  </si>
  <si>
    <t xml:space="preserve">Métro </t>
  </si>
  <si>
    <t>total</t>
  </si>
  <si>
    <r>
      <t>t CO</t>
    </r>
    <r>
      <rPr>
        <b/>
        <vertAlign val="subscript"/>
        <sz val="16"/>
        <color theme="1"/>
        <rFont val="Calibri"/>
        <family val="2"/>
        <scheme val="minor"/>
      </rPr>
      <t>2</t>
    </r>
    <r>
      <rPr>
        <b/>
        <sz val="16"/>
        <color theme="1"/>
        <rFont val="Calibri"/>
        <family val="2"/>
        <scheme val="minor"/>
      </rPr>
      <t xml:space="preserve"> éq. par année</t>
    </r>
  </si>
  <si>
    <t>Réseau de vapeur (biomasse)</t>
  </si>
  <si>
    <t>https://transitionenergetique.gouv.qc.ca/fileadmin/medias/pdf/FacteursEmission.pdf</t>
  </si>
  <si>
    <t xml:space="preserve">Repas </t>
  </si>
  <si>
    <t>t CO2 éq.</t>
  </si>
  <si>
    <t xml:space="preserve">Petits-déjeuners </t>
  </si>
  <si>
    <t xml:space="preserve">Souper </t>
  </si>
  <si>
    <t>Lunch</t>
  </si>
  <si>
    <t>Collations et breuvages</t>
  </si>
  <si>
    <t>Classique (œuf, bacon, jambon, saucisses, patates et pain)</t>
  </si>
  <si>
    <t>Omlettes ( œuf, jambon, légumes, fromages, pain, patates)</t>
  </si>
  <si>
    <t>Omlette végétarienne (avec fromage)</t>
  </si>
  <si>
    <t>Omlette végétarienne (sans fromage)</t>
  </si>
  <si>
    <t>Pain Doré (sirop d'érable et fruits)</t>
  </si>
  <si>
    <t>Gaufres complètes (fruits, caramel et chocolat)</t>
  </si>
  <si>
    <t>Enfant pain doré (sirop d'érable et fruits)</t>
  </si>
  <si>
    <t>Enfant - Demi gauffre (coulis chocolat et fruit)</t>
  </si>
  <si>
    <t>Enfant - Crêpe (coulis chocolat et fruits)</t>
  </si>
  <si>
    <t>Extra</t>
  </si>
  <si>
    <t xml:space="preserve">Pain grillé (2) avec confiture </t>
  </si>
  <si>
    <t>Jambon (1)</t>
  </si>
  <si>
    <t>Saucisse (1)</t>
  </si>
  <si>
    <t>Bacon (3)</t>
  </si>
  <si>
    <t>Patates Roties (1 portion)</t>
  </si>
  <si>
    <t>Sirop d'érable (1 portion)</t>
  </si>
  <si>
    <t>Fruits frais (1 portion)</t>
  </si>
  <si>
    <t>Fêves aux lards (1 portion)</t>
  </si>
  <si>
    <t>Jus de fruits (1 portion)</t>
  </si>
  <si>
    <t>Tisanne (1 portion)</t>
  </si>
  <si>
    <t>Thé (1 portion)</t>
  </si>
  <si>
    <t>Café (1 portion)</t>
  </si>
  <si>
    <t>Verre de chocolat chaud  (1 portion)</t>
  </si>
  <si>
    <t>Yaourt granola aux fruits (1 portion)</t>
  </si>
  <si>
    <t>Bol de céréales santé (1 portion)</t>
  </si>
  <si>
    <t>Verre de lait (1 portion)</t>
  </si>
  <si>
    <t>Nombre de repas végétariens</t>
  </si>
  <si>
    <t>Nombre de repas option porc</t>
  </si>
  <si>
    <t>Nombre de repas option bœuf</t>
  </si>
  <si>
    <t>Nombre de repas option poulet</t>
  </si>
  <si>
    <t>Nombre de repas option poisson</t>
  </si>
  <si>
    <t>Poutine</t>
  </si>
  <si>
    <t>Hamburger et frites</t>
  </si>
  <si>
    <t>Velouté de légumes</t>
  </si>
  <si>
    <t>Bœuf et purée de légumes</t>
  </si>
  <si>
    <t xml:space="preserve">Fruits de mer aux herbes fraiches et légumes </t>
  </si>
  <si>
    <t>Orzo végétarien (pâtes, légumes et ricotta)</t>
  </si>
  <si>
    <t>Crevettes, riz et légumes</t>
  </si>
  <si>
    <t xml:space="preserve">Porchetta et légumes </t>
  </si>
  <si>
    <t>Poulet et légumes (avec fromage)</t>
  </si>
  <si>
    <t>Poulet et légumes  (sans fromage)</t>
  </si>
  <si>
    <t xml:space="preserve">Truite et légumes grilés </t>
  </si>
  <si>
    <t>Tournedos de viande rouge et légumes (pommes de terre et haricots)</t>
  </si>
  <si>
    <t>Dessert</t>
  </si>
  <si>
    <t>Mignardises/Gâteaux</t>
  </si>
  <si>
    <t>Mousse au chocolat et fruits</t>
  </si>
  <si>
    <t>Tarte au citron</t>
  </si>
  <si>
    <t xml:space="preserve">Brownie au chocolat </t>
  </si>
  <si>
    <t>Gâteau au fromage blanc</t>
  </si>
  <si>
    <t>Gâteaux aux amandes</t>
  </si>
  <si>
    <t>Gâteau au chocolat type forêt noire (par kg ramener a une portion)</t>
  </si>
  <si>
    <t>tCO2 eq.</t>
  </si>
  <si>
    <t>FÉ</t>
  </si>
  <si>
    <t xml:space="preserve">Autres combustibles solides (résidus de bois) </t>
  </si>
  <si>
    <t>Q-2, r. 15 - Règlement sur la déclaration obligatoire de certaines émissions de contaminants dans l’atmosphère (gouv.qc.ca)</t>
  </si>
  <si>
    <t>Autocar interurbain</t>
  </si>
  <si>
    <t>Autocar Urbain</t>
  </si>
  <si>
    <t>Rem</t>
  </si>
  <si>
    <t>https://coalitionclimatmtl.org/wp-content/uploads/Test-climat-REM.pdf</t>
  </si>
  <si>
    <t>Papier hygiénique</t>
  </si>
  <si>
    <t xml:space="preserve">Papier à main </t>
  </si>
  <si>
    <t>Papier d'impression</t>
  </si>
  <si>
    <t xml:space="preserve">Consommable - Généralité </t>
  </si>
  <si>
    <t xml:space="preserve">Nettoyant sol </t>
  </si>
  <si>
    <t>Bureau - essentiels - produits consommables</t>
  </si>
  <si>
    <t xml:space="preserve">Crème brulée </t>
  </si>
  <si>
    <t>Infrastructures (énergie renouvelables)</t>
  </si>
  <si>
    <t>Éoliennes</t>
  </si>
  <si>
    <t xml:space="preserve">Panneaux solaires </t>
  </si>
  <si>
    <t>Durée de vie (an)</t>
  </si>
  <si>
    <t xml:space="preserve">Option - Émissions fugitives </t>
  </si>
  <si>
    <t>nb d'appareils</t>
  </si>
  <si>
    <t xml:space="preserve">Option émissions fugitives - Facteur de perte suggéré </t>
  </si>
  <si>
    <t xml:space="preserve">Guide de quantification </t>
  </si>
  <si>
    <t xml:space="preserve">Durée de vie (en années) </t>
  </si>
  <si>
    <t>Traversier</t>
  </si>
  <si>
    <t>t kg CO2 éq./heure</t>
  </si>
  <si>
    <t>H</t>
  </si>
  <si>
    <t>Essence d'aviation (pour les hélicoptères)</t>
  </si>
  <si>
    <t>Guide de quantification des émissions</t>
  </si>
  <si>
    <t>Bac de récupération 360L</t>
  </si>
  <si>
    <t>Bac d'enfouissement 240L</t>
  </si>
  <si>
    <t>Bac de compostage 240L</t>
  </si>
  <si>
    <t>Bac d'incinération 240L</t>
  </si>
  <si>
    <t>Propane - Combustion dans les sources mobiles (par litre)</t>
  </si>
  <si>
    <t>Essence d'aviation (pour les hélicoptères) dans les sources mobiles</t>
  </si>
  <si>
    <t>Corde de bois (feux récréatif ou chaleur)</t>
  </si>
  <si>
    <t>Spécifications</t>
  </si>
  <si>
    <t xml:space="preserve">Résineux 1 corde (4'X8'X16) </t>
  </si>
  <si>
    <t xml:space="preserve">Feuillus 1 corde (4'X8'X16) </t>
  </si>
  <si>
    <t>Cordes de bois résineux  (feux récréatif ou chaleur)</t>
  </si>
  <si>
    <t>Cordes de bois feuillus  (feux récréatif ou chaleur)</t>
  </si>
  <si>
    <t xml:space="preserve">Tableau 1-3 </t>
  </si>
  <si>
    <t>https://www.legisquebec.gouv.qc.ca/fr/document/rc/Q-2,%20r.%2015</t>
  </si>
  <si>
    <t>TCO2 biogénique</t>
  </si>
  <si>
    <t>Évènementiel</t>
  </si>
  <si>
    <t>Nb de minutes</t>
  </si>
  <si>
    <t>Événement virtuel sur google meet</t>
  </si>
  <si>
    <t>Évènement virtuel sur Microsoft Teams</t>
  </si>
  <si>
    <t>FE</t>
  </si>
  <si>
    <t>https://greenspector.com/fr/quelle-application-mobile-de-visioconference-pour-reduire-votre-impact-edition-2021/</t>
  </si>
  <si>
    <t>t CO2 éq./kWh</t>
  </si>
  <si>
    <t>https://www.hellocarbo.com/blog/calculer/bilan-carbone-eolienne-etude/</t>
  </si>
  <si>
    <t>t CO2 éq./kWc</t>
  </si>
  <si>
    <t>https://dualsun.com/blog/technologie-solaire/impact-environnemental-panneau-solaire/</t>
  </si>
  <si>
    <t>Nb de bacs</t>
  </si>
  <si>
    <t>Incinération 240 L</t>
  </si>
  <si>
    <t>Enfouissement 240L</t>
  </si>
  <si>
    <t>Récupération 360 L</t>
  </si>
  <si>
    <t>Matières destinées au compostage 240L</t>
  </si>
  <si>
    <t xml:space="preserve">Distance en km au site </t>
  </si>
  <si>
    <t>FE/Bac en tCO2 eq.</t>
  </si>
  <si>
    <t>Paper Calculator 4.0 | Environmental Paper Network</t>
  </si>
  <si>
    <t>Ademe</t>
  </si>
  <si>
    <t>Nettoyant multi usages</t>
  </si>
  <si>
    <t>Cartouche jet d'encre noir</t>
  </si>
  <si>
    <t>tCO2e/100 feuilles A4</t>
  </si>
  <si>
    <t>Cartouche jet d'encre couleur</t>
  </si>
  <si>
    <t>kgCO2e/100 feuilles A5</t>
  </si>
  <si>
    <t xml:space="preserve">Mobilier et éléments de bureau </t>
  </si>
  <si>
    <t>Bureau en bois individuel</t>
  </si>
  <si>
    <t>Bureau autre matériel individel</t>
  </si>
  <si>
    <t>Chaise de bureau générique</t>
  </si>
  <si>
    <t>Table de conférence générique</t>
  </si>
  <si>
    <t>Armoire ou rangement</t>
  </si>
  <si>
    <t>Électronique</t>
  </si>
  <si>
    <t>Appareil photo</t>
  </si>
  <si>
    <t>tCO2e/unité</t>
  </si>
  <si>
    <t>Aspirateur ménager</t>
  </si>
  <si>
    <t xml:space="preserve">Aspirateur professionnel </t>
  </si>
  <si>
    <t>Plein-air</t>
  </si>
  <si>
    <t xml:space="preserve">Paires de ski </t>
  </si>
  <si>
    <t>tCO2eq./unit</t>
  </si>
  <si>
    <t>analyse de cycle de vie (5 ans durée de vie) / Ramener sur une base annuelle - durée de vie et amortir en fonction de l'utilisation</t>
  </si>
  <si>
    <t>Snowboard</t>
  </si>
  <si>
    <t>Voile</t>
  </si>
  <si>
    <t xml:space="preserve">Casque de sécurité </t>
  </si>
  <si>
    <t xml:space="preserve">Vélo électrique </t>
  </si>
  <si>
    <t>Bâches</t>
  </si>
  <si>
    <t>Nourriture industrielles pour loups croquettes</t>
  </si>
  <si>
    <t>Nourriture pour les loups (résidus cru de viande, poisson, etc)</t>
  </si>
  <si>
    <t>Bois et matériaux pour refuge</t>
  </si>
  <si>
    <t>Banc</t>
  </si>
  <si>
    <t>Habit de neige</t>
  </si>
  <si>
    <t>Moteur à bâteau</t>
  </si>
  <si>
    <t>Matelas sol</t>
  </si>
  <si>
    <t xml:space="preserve">Chaise de campement </t>
  </si>
  <si>
    <t>Machinerie d'emtretien et de maintenance</t>
  </si>
  <si>
    <t>Tondeuses</t>
  </si>
  <si>
    <t>Scies</t>
  </si>
  <si>
    <t>Email</t>
  </si>
  <si>
    <t>t CO2 éq./portion</t>
  </si>
  <si>
    <t>Machinerie d'entretien et de maintenance</t>
  </si>
  <si>
    <t>Table à manger 4 à 6 places</t>
  </si>
  <si>
    <t>Congélateur</t>
  </si>
  <si>
    <t>Draps 1 place</t>
  </si>
  <si>
    <t>Draps 2 places</t>
  </si>
  <si>
    <t>Taie d'oreiller/Housse de coussin</t>
  </si>
  <si>
    <t xml:space="preserve">Housse de couette 2 personnes </t>
  </si>
  <si>
    <t>Assiettes</t>
  </si>
  <si>
    <t>Verres</t>
  </si>
  <si>
    <t>ustentiles</t>
  </si>
  <si>
    <t>Chaudrons  générique</t>
  </si>
  <si>
    <t>Frigo</t>
  </si>
  <si>
    <t>Anciens petits réfrégirateus et congélateurs</t>
  </si>
  <si>
    <t>Gros réfrégirateurs et congélateurs</t>
  </si>
  <si>
    <t>Chambre froide</t>
  </si>
  <si>
    <t>https://www.epfl.ch/schools/sv/wp-content/uploads/2021/11/Analyse-Frigo-VF_FR.pdf</t>
  </si>
  <si>
    <t xml:space="preserve">Mobilier hébergement </t>
  </si>
  <si>
    <t xml:space="preserve">Mobiliers Restauration </t>
  </si>
  <si>
    <t>Repas végétarien</t>
  </si>
  <si>
    <t>Repas à base de porc</t>
  </si>
  <si>
    <t>Repas à base de bœuf</t>
  </si>
  <si>
    <t>Repas à base de poulet</t>
  </si>
  <si>
    <t xml:space="preserve">Repas à base de poisson </t>
  </si>
  <si>
    <t>Type de repas</t>
  </si>
  <si>
    <t>Nbre de repas</t>
  </si>
  <si>
    <t>Boissons et autres</t>
  </si>
  <si>
    <t>Nbre de portions</t>
  </si>
  <si>
    <t>Kayak générique</t>
  </si>
  <si>
    <t>Canoe générique</t>
  </si>
  <si>
    <t>Kayak</t>
  </si>
  <si>
    <t>Cataraft</t>
  </si>
  <si>
    <t>Déplacements clients général</t>
  </si>
  <si>
    <t>BILAN DES ÉMISSIONS DE GES PORTÉE 1 À 3</t>
  </si>
  <si>
    <t>Nb de portions</t>
  </si>
  <si>
    <t>Nb de rouleaux</t>
  </si>
  <si>
    <t>Nb de bouteilles</t>
  </si>
  <si>
    <t>Nombre de bouteilles</t>
  </si>
  <si>
    <t>Nb de feuilles</t>
  </si>
  <si>
    <t>Nb de cartouches</t>
  </si>
  <si>
    <t>Nb</t>
  </si>
  <si>
    <t>Appareil photo générique</t>
  </si>
  <si>
    <t>Aspirateur ménager générique</t>
  </si>
  <si>
    <t>Aspirateur professionnel générique</t>
  </si>
  <si>
    <t>Montre connectée générique</t>
  </si>
  <si>
    <r>
      <t xml:space="preserve"> t CO</t>
    </r>
    <r>
      <rPr>
        <b/>
        <vertAlign val="subscript"/>
        <sz val="12"/>
        <color theme="1"/>
        <rFont val="Calibri"/>
        <family val="2"/>
        <scheme val="minor"/>
      </rPr>
      <t>2</t>
    </r>
  </si>
  <si>
    <r>
      <t xml:space="preserve"> t CH</t>
    </r>
    <r>
      <rPr>
        <b/>
        <vertAlign val="subscript"/>
        <sz val="12"/>
        <color theme="1"/>
        <rFont val="Calibri"/>
        <family val="2"/>
        <scheme val="minor"/>
      </rPr>
      <t>4</t>
    </r>
    <r>
      <rPr>
        <b/>
        <sz val="12"/>
        <color theme="1"/>
        <rFont val="Calibri"/>
        <family val="2"/>
        <scheme val="minor"/>
      </rPr>
      <t xml:space="preserve"> </t>
    </r>
  </si>
  <si>
    <r>
      <t xml:space="preserve"> t  N</t>
    </r>
    <r>
      <rPr>
        <b/>
        <vertAlign val="subscript"/>
        <sz val="12"/>
        <color theme="1"/>
        <rFont val="Calibri"/>
        <family val="2"/>
        <scheme val="minor"/>
      </rPr>
      <t>2</t>
    </r>
    <r>
      <rPr>
        <b/>
        <sz val="12"/>
        <color theme="1"/>
        <rFont val="Calibri"/>
        <family val="2"/>
        <scheme val="minor"/>
      </rPr>
      <t xml:space="preserve">O </t>
    </r>
  </si>
  <si>
    <r>
      <t xml:space="preserve"> t N</t>
    </r>
    <r>
      <rPr>
        <b/>
        <vertAlign val="subscript"/>
        <sz val="12"/>
        <color theme="1"/>
        <rFont val="Calibri"/>
        <family val="2"/>
        <scheme val="minor"/>
      </rPr>
      <t>2</t>
    </r>
    <r>
      <rPr>
        <b/>
        <sz val="12"/>
        <color theme="1"/>
        <rFont val="Calibri"/>
        <family val="2"/>
        <scheme val="minor"/>
      </rPr>
      <t>O</t>
    </r>
  </si>
  <si>
    <r>
      <t>t CO</t>
    </r>
    <r>
      <rPr>
        <vertAlign val="subscript"/>
        <sz val="12"/>
        <color theme="1"/>
        <rFont val="Calibri"/>
        <family val="2"/>
        <scheme val="minor"/>
      </rPr>
      <t>2</t>
    </r>
    <r>
      <rPr>
        <sz val="12"/>
        <color theme="1"/>
        <rFont val="Calibri"/>
        <family val="2"/>
        <scheme val="minor"/>
      </rPr>
      <t>e t</t>
    </r>
    <r>
      <rPr>
        <vertAlign val="superscript"/>
        <sz val="12"/>
        <color theme="1"/>
        <rFont val="Calibri"/>
        <family val="2"/>
        <scheme val="minor"/>
      </rPr>
      <t>-1</t>
    </r>
  </si>
  <si>
    <r>
      <t>t CO2 éq. repas</t>
    </r>
    <r>
      <rPr>
        <vertAlign val="superscript"/>
        <sz val="12"/>
        <color theme="1"/>
        <rFont val="Calibri"/>
        <family val="2"/>
        <scheme val="minor"/>
      </rPr>
      <t>-1</t>
    </r>
  </si>
  <si>
    <r>
      <t>t CO2 éq. item</t>
    </r>
    <r>
      <rPr>
        <vertAlign val="superscript"/>
        <sz val="12"/>
        <color theme="1"/>
        <rFont val="Calibri"/>
        <family val="2"/>
        <scheme val="minor"/>
      </rPr>
      <t>-1</t>
    </r>
  </si>
  <si>
    <r>
      <t>t CO2 éq. item</t>
    </r>
    <r>
      <rPr>
        <vertAlign val="superscript"/>
        <sz val="12"/>
        <color theme="1"/>
        <rFont val="Calibri"/>
        <family val="2"/>
        <scheme val="minor"/>
      </rPr>
      <t>-2</t>
    </r>
    <r>
      <rPr>
        <sz val="12"/>
        <color theme="1"/>
        <rFont val="Calibri"/>
        <family val="2"/>
        <scheme val="minor"/>
      </rPr>
      <t/>
    </r>
  </si>
  <si>
    <t>Ou si vous connaissez la distance (en KM) de votre véhicule plutôt que le volume de carburant consommé</t>
  </si>
  <si>
    <t>Rencontres virtuelles</t>
  </si>
  <si>
    <t>Évènement virtuel sur Zoom</t>
  </si>
  <si>
    <t>Ou si vous ne connaissez pas la quantité de grammes ajouté annuellement dans vos appareils, indiquez le nombre d'appareils que vous avez dans la colonne B et la durée en an de votre appareil</t>
  </si>
  <si>
    <t xml:space="preserve">tCO2e/1 feuille </t>
  </si>
  <si>
    <t>Hypothèse : 0.00047 tCO2 eq/1 kg - Pour 1 feuille de 5g 0.00000235</t>
  </si>
  <si>
    <t>Nombre d'évènements</t>
  </si>
  <si>
    <t>Produits consommables</t>
  </si>
  <si>
    <t>Mobilier et items de bureau</t>
  </si>
  <si>
    <t>Mobiliers</t>
  </si>
  <si>
    <t>Hypothèse: Durée de vie d’un ordinateur portable entre 6 et 10 ans : https://www.inmac-wstore.com/guides-achat-ordinateur-estimer-duree-de-vie-pc-portable/cp37916.htm#:~:text=Ainsi%2C%20en%20considérant%20l%27entretien,système%20d%27exploitation%20moins%20stable.</t>
  </si>
  <si>
    <t>Hypothèse: Durée de vie d'un ordinateur de bureau entre 5 à 8 ans, évidemment cela dépends du matériel, de l’entretient et de plusieurs autres facteurs : https://www.hp.com/ca-fr/shop/offer.aspx?p=time-for-desktop-upgrade#</t>
  </si>
  <si>
    <t>Hypothèse: Durée de vie d’un bureau en bois est de 10 ans, évidemment cela dépends du matériel, de l’entretient et de plusieurs autres facteurs : https://uniquemobilier.com/fr/mobilier-de-bureau/bureaux-de-reception/#:~:text=Par%20exemple%2C%20un%20bureau%20construit,les%205%20à%2010%20ans.</t>
  </si>
  <si>
    <t xml:space="preserve">Hypothèse: Durée de vie d'environ 7 ans, évidemment cela dépends du matériel, de l’entretient et de plusieurs autres facteurs </t>
  </si>
  <si>
    <t>Hypothèse: durée de vie d’une chaise de bureau générique de 10 ans, évidemment cela dépends du matériel, de l’entretient et de plusieurs autres facteurs  https://bureau.navailles.fr/quelle-est-la-duree-de-vie-dune-chaise-de-bureau/#:~:text=En%20moyenne%2C%20une%20chaise%20de,peuvent%20durer%20encore%20plus%20longtemps.</t>
  </si>
  <si>
    <t xml:space="preserve">Hypothèse: Durée de vie d’une table de conférence environ 10 ans, évidemment cela dépends du matériel, de l’entretient et de plusieurs autres facteurs </t>
  </si>
  <si>
    <t>Hypothèse: durée de vie d'environ 5 ans, selon l’utilisation, des mises à jours etc.https://maximejohnson.com/techno/2011/03/la-question-a-500-qu’elle-est-la-duree-de-vie-d’un-ipad/</t>
  </si>
  <si>
    <t>Hypothèse: Durée de vie d’environ 6 ans; https://www.jpg.fr/centre-de-connaissances/guides-d-achat/acheter-cette-imprimante.html#:~:text=Une%20durée%20de%20vie%20supérieure%20aux%20autres%20imprimantes&amp;text=Contrairement%20aux%20imprimantes%20jet%2C%20la,tenir%20jusqu%27à%206%20ans.</t>
  </si>
  <si>
    <t>Hypothèse: Durée de vie de 2 à 4 ans en fonction des modèles - https://www.tinkco.com/blog/imprimante-duree-de-vie-et-remplacement-n15#:~:text=La%20durée%20de%20vie%20d%27une%20imprimante%20correspond%20à%20sa,ans%20en%20fonction%20des%20modèles.</t>
  </si>
  <si>
    <t>Hypothèse: Hypothèse: Durée de vie d’environ 30 ans; https://www.armoireplus.fr/pourquoi-opter-pour-une-armoire-metallique-ses-avantages/#:~:text=Investir%20dans%20une%20armoire%20métallique,pendant%20au%20moins%2030%20ans.</t>
  </si>
  <si>
    <t>Hypothèse: Durée de vie entre 5 et 7 ans; selon l’utilisation; https://canada.lenovo.com/fr/ca/en/d/accessories-and-monitors/monitors/23-inch-monitors/?orgRef=https%253A%252F%252Fwww.google.com%252F</t>
  </si>
  <si>
    <t>t CO2 éq. / unité</t>
  </si>
  <si>
    <t>Hypothèse: durée de vie d’environ 5 ans : https://nosgestesclimat.fr/documentation/divers/numérique/appareils/appareil-photo/durée</t>
  </si>
  <si>
    <t>Hypothèse: Durée de vie entre 5 et 8 ans https://reporterre.net/L-aspirateur-balai-un-gachis-ecologique#:~:text=Pour%20l%27association%20UFC%2DQue,des%20données%20publiées%20début%202023.</t>
  </si>
  <si>
    <t>Durée de vie: Hypothèse: Durée de vie entre 7 et 8 ans; https://universaspirateur.com/conseils/faire-de-son-achat-daspirateur-un-bon-investissement-financier/</t>
  </si>
  <si>
    <t>Hypothèse: Durée de vie d’environ 6 ans - https://www.braceletsmartwatch.fr/blogs/smartwatch/montre-connectee-ou-classique-avantages-et-inconve/#:~:text=Une%20smartwatch%20est%20un%20appareil,généralement%20valable%20pendant%203%20ans.</t>
  </si>
  <si>
    <t xml:space="preserve">Hypothèse: Durée de vie d’environ 10 ans </t>
  </si>
  <si>
    <t>Hypothèse: Durée de vie d’environ 10 ans </t>
  </si>
  <si>
    <t>Smartphone</t>
  </si>
  <si>
    <t xml:space="preserve">Smartphone classique </t>
  </si>
  <si>
    <t>Hypothèse: Durée de vie d’environ 5 ans; https://www.coolblue.be/fr/conseils/duree-vie-smartphone.html</t>
  </si>
  <si>
    <t>Hypothèse: Durée de vie de 9 ans https://www.gammvert.fr/conseils-idees/choisir-sa-tondeuse-a-gazon-electrique-ou-thermique</t>
  </si>
  <si>
    <t>hypothèse: Durée de vie d'environ 5 ans https://scie.pagesjaunes.fr/comprendre/scie-sans-fil#:~:text=travaux%20occasionnels%2C%20amateurs.-,Scie%20sans%20fil%20%3A%20une%20durée%20de%20vie%20moyenne,selon%20la%20fréquence%20d%27utilisation.</t>
  </si>
  <si>
    <t>Spécificité restauration</t>
  </si>
  <si>
    <t>Congélateur coffre</t>
  </si>
  <si>
    <t>Congélateur armoire</t>
  </si>
  <si>
    <t>Ustentiles</t>
  </si>
  <si>
    <t>Chaudrons  génériques</t>
  </si>
  <si>
    <t>Hypothèse: Durée de vie d’environ 5 ans https://uncoqdansletransat.fr/infos/quand-remplacer-ma-casserole-n106#:~:text=Casseroles%20%3A%20quand%20les%20changer%20et,en%20moyenne%2C%20de%205%20ans.</t>
  </si>
  <si>
    <t xml:space="preserve">Commentaire: Il est difficile d'estimer la durée de vie </t>
  </si>
  <si>
    <t>Hypothèse: Durée de vie d'environ 15 ans https://brandsource.ca/fr/quelle-est-la-duree-de-vie-de-vos-appareils-electromenagers-samsung/</t>
  </si>
  <si>
    <t xml:space="preserve">pour 205litres Hypothèse: Durée de vie d'environ 15 ans </t>
  </si>
  <si>
    <t xml:space="preserve">pour 261 litres Hypothèse: Durée de vie d'environ 15 ans </t>
  </si>
  <si>
    <t>t CO2 éq./portion de 350g</t>
  </si>
  <si>
    <t>t CO2 éq./portion de 250g</t>
  </si>
  <si>
    <t>t CO2 éq./portion pour150g</t>
  </si>
  <si>
    <t>t CO2 éq./portion de 250ml</t>
  </si>
  <si>
    <t xml:space="preserve">t CO2 éq./portion pour 250ml </t>
  </si>
  <si>
    <t>t CO2 éq./portion pour 250g</t>
  </si>
  <si>
    <t>t CO2 éq./portion pour 150 ml</t>
  </si>
  <si>
    <t>t CO2 éq./portion pour 50g</t>
  </si>
  <si>
    <t>t CO2 éq./portion pour 100g</t>
  </si>
  <si>
    <t>t CO2 éq./portion de 100g</t>
  </si>
  <si>
    <t>Référence</t>
  </si>
  <si>
    <t>Hypothèse: Durée de vie de 5 à 15 ans https://bestmobilier.com/blog/quand-faut-il-changer-de-canape/#</t>
  </si>
  <si>
    <t>Hypothèse de départ: Durée de vie de 10 ans https://www.tediber.com/conseils/canape/canape-cuir</t>
  </si>
  <si>
    <t>Hypothèse: Durée de vie entre 8 et 10 ans https://www.emma.fr/sommier/quand-changer-sommier/</t>
  </si>
  <si>
    <t>Hypothèse: Durée de vie entre 15 à 20 ans https://sleeplife.be/fr/mieux-dormir/conseils-produits/comment-savoir-si-votre-lit-sommier-matelas-doit-etre-remplace#:~:text=La%20durée%20de%20vie%20moyenne,%27est%20qu%27une%20indication.</t>
  </si>
  <si>
    <t>Hypothèse de départ: Durée de vie entre 8 et 10 ans https://www.tediber.com/conseils/sommier/quand-changer-son-sommier</t>
  </si>
  <si>
    <t>Hypothèse de départ: Durée de vie de 5 ans https://www.maliterie.com/blog/faq-quelle-matiere-de-matelas-a-la-plus-longue-duree-de-vie--n110#</t>
  </si>
  <si>
    <t>Hypothèse: Durée de vie entre 15 à 20 ans</t>
  </si>
  <si>
    <t>Hypothèse: Difficile de déterminer la durée de vie de cet item</t>
  </si>
  <si>
    <t>Hypothèse: Durée de vie de maximum 30 ans https://www.01net.com/actualites/quelle-est-la-vraie-duree-de-vie-dun-televiseur-plat-402278.html</t>
  </si>
  <si>
    <t>La première année, effectuez un inventaire complet de tous les articles qui ne sont pas des produits consommables. Les années suivantes, ajustez la durée de vie de chaque bien en conséquence. Les produits consommables doivent être recalculés à chaque bilan, et il est recommandé de tenir des registres précis pour suivre la consommation des articles tout au long de l'année</t>
  </si>
  <si>
    <t>Fuites de réfrigérants</t>
  </si>
  <si>
    <t>Énergies renouvelables</t>
  </si>
  <si>
    <t>Hypothèse: Durée de vie de 74 à 100 jours d’utilisation, https://extremenomads.life/fr/how-long-do-snowboards-last/</t>
  </si>
  <si>
    <t xml:space="preserve">Hypothèse: Durée de vie basée sur d'environ 14 ans basé, environ 3-4h de navigation par sortie </t>
  </si>
  <si>
    <t>Hypothèse: Durée de vie de 5 ans selon les normes de sécurité, il faut changer son casque chaque 5 ans, https://oberson.com/blogs/ski/choisir-un-casque-de-ski-un-vrai-casse-tete#</t>
  </si>
  <si>
    <t xml:space="preserve">Hypothèse: Durée de vie 12 ans. 1 an renouvellement de la batterie au cours de la durée de vie du produit. Basé sur le scénario suivant: 2500 km par an avec une charge toute les 40km parcouru et une durée de la batterie pleine charge de 400 charge </t>
  </si>
  <si>
    <t>Hypothèse: Durée entre 5 et 10 ans , https://www.baches-publicitaires.com/blog/communication/duree-de-vie-bache-publicitaire/#:~:text=Elles%20sont%20résistantes%20aux%20intempéries,et%205%20ans%20en%20extérieur.</t>
  </si>
  <si>
    <t xml:space="preserve">Hypothèse: Refuge éco-construit à base de bois, paille, pierre et terre </t>
  </si>
  <si>
    <t xml:space="preserve">Hypothèse: Générique, durée de vie d'environ de 5 ans </t>
  </si>
  <si>
    <t>Hypothèse: Durée de vie de plus de 20 ans si bien entretenue</t>
  </si>
  <si>
    <t>Hypothèse: Durée de vie de 5 ans environ</t>
  </si>
  <si>
    <t>Hypothèse: Durée de vie entre 7 et 10 ans </t>
  </si>
  <si>
    <t>hypothèse: Durée de vie d'environ 10 ans</t>
  </si>
  <si>
    <t>Nb de refuges</t>
  </si>
  <si>
    <r>
      <t>T CO</t>
    </r>
    <r>
      <rPr>
        <vertAlign val="subscript"/>
        <sz val="12"/>
        <color theme="1"/>
        <rFont val="Calibri"/>
        <family val="2"/>
        <scheme val="minor"/>
      </rPr>
      <t>2</t>
    </r>
    <r>
      <rPr>
        <sz val="12"/>
        <color theme="1"/>
        <rFont val="Calibri"/>
        <family val="2"/>
        <scheme val="minor"/>
      </rPr>
      <t xml:space="preserve"> éq. km</t>
    </r>
    <r>
      <rPr>
        <vertAlign val="superscript"/>
        <sz val="12"/>
        <color theme="1"/>
        <rFont val="Calibri"/>
        <family val="2"/>
        <scheme val="minor"/>
      </rPr>
      <t>-1</t>
    </r>
    <r>
      <rPr>
        <sz val="12"/>
        <color theme="1"/>
        <rFont val="Calibri"/>
        <family val="2"/>
        <scheme val="minor"/>
      </rPr>
      <t>.pers</t>
    </r>
    <r>
      <rPr>
        <vertAlign val="superscript"/>
        <sz val="12"/>
        <color theme="1"/>
        <rFont val="Calibri"/>
        <family val="2"/>
        <scheme val="minor"/>
      </rPr>
      <t>-1</t>
    </r>
  </si>
  <si>
    <r>
      <t>t CO</t>
    </r>
    <r>
      <rPr>
        <vertAlign val="subscript"/>
        <sz val="12"/>
        <color theme="1"/>
        <rFont val="Calibri"/>
        <family val="2"/>
        <scheme val="minor"/>
      </rPr>
      <t>2</t>
    </r>
    <r>
      <rPr>
        <sz val="12"/>
        <color theme="1"/>
        <rFont val="Calibri"/>
        <family val="2"/>
        <scheme val="minor"/>
      </rPr>
      <t xml:space="preserve"> éq. km</t>
    </r>
    <r>
      <rPr>
        <vertAlign val="superscript"/>
        <sz val="12"/>
        <color theme="1"/>
        <rFont val="Calibri"/>
        <family val="2"/>
        <scheme val="minor"/>
      </rPr>
      <t>-1</t>
    </r>
    <r>
      <rPr>
        <sz val="12"/>
        <color theme="1"/>
        <rFont val="Calibri"/>
        <family val="2"/>
        <scheme val="minor"/>
      </rPr>
      <t>.pers</t>
    </r>
    <r>
      <rPr>
        <vertAlign val="superscript"/>
        <sz val="12"/>
        <color theme="1"/>
        <rFont val="Calibri"/>
        <family val="2"/>
        <scheme val="minor"/>
      </rPr>
      <t>-2</t>
    </r>
  </si>
  <si>
    <r>
      <t>t CO</t>
    </r>
    <r>
      <rPr>
        <vertAlign val="subscript"/>
        <sz val="12"/>
        <color theme="1"/>
        <rFont val="Calibri"/>
        <family val="2"/>
        <scheme val="minor"/>
      </rPr>
      <t>2</t>
    </r>
    <r>
      <rPr>
        <sz val="12"/>
        <color theme="1"/>
        <rFont val="Calibri"/>
        <family val="2"/>
        <scheme val="minor"/>
      </rPr>
      <t xml:space="preserve"> éq. km</t>
    </r>
    <r>
      <rPr>
        <vertAlign val="superscript"/>
        <sz val="12"/>
        <color theme="1"/>
        <rFont val="Calibri"/>
        <family val="2"/>
        <scheme val="minor"/>
      </rPr>
      <t>-1</t>
    </r>
    <r>
      <rPr>
        <sz val="12"/>
        <color theme="1"/>
        <rFont val="Calibri"/>
        <family val="2"/>
        <scheme val="minor"/>
      </rPr>
      <t>.pers</t>
    </r>
    <r>
      <rPr>
        <vertAlign val="superscript"/>
        <sz val="12"/>
        <color theme="1"/>
        <rFont val="Calibri"/>
        <family val="2"/>
        <scheme val="minor"/>
      </rPr>
      <t>-1</t>
    </r>
  </si>
  <si>
    <r>
      <t>t CO</t>
    </r>
    <r>
      <rPr>
        <vertAlign val="subscript"/>
        <sz val="12"/>
        <color theme="1"/>
        <rFont val="Calibri"/>
        <family val="2"/>
        <scheme val="minor"/>
      </rPr>
      <t>2</t>
    </r>
    <r>
      <rPr>
        <sz val="12"/>
        <color theme="1"/>
        <rFont val="Calibri"/>
        <family val="2"/>
        <scheme val="minor"/>
      </rPr>
      <t xml:space="preserve"> éq. km</t>
    </r>
    <r>
      <rPr>
        <vertAlign val="superscript"/>
        <sz val="12"/>
        <color theme="1"/>
        <rFont val="Calibri"/>
        <family val="2"/>
        <scheme val="minor"/>
      </rPr>
      <t>--1</t>
    </r>
  </si>
  <si>
    <t>t/km</t>
  </si>
  <si>
    <t>tco2eq./déplacement/km</t>
  </si>
  <si>
    <r>
      <t>t CO</t>
    </r>
    <r>
      <rPr>
        <vertAlign val="subscript"/>
        <sz val="14"/>
        <color theme="1"/>
        <rFont val="Calibri"/>
        <family val="2"/>
        <scheme val="minor"/>
      </rPr>
      <t>2</t>
    </r>
    <r>
      <rPr>
        <sz val="14"/>
        <color theme="1"/>
        <rFont val="Calibri"/>
        <family val="2"/>
        <scheme val="minor"/>
      </rPr>
      <t xml:space="preserve"> éq. km</t>
    </r>
    <r>
      <rPr>
        <vertAlign val="superscript"/>
        <sz val="14"/>
        <color theme="1"/>
        <rFont val="Calibri"/>
        <family val="2"/>
        <scheme val="minor"/>
      </rPr>
      <t>-1</t>
    </r>
    <r>
      <rPr>
        <sz val="14"/>
        <color theme="1"/>
        <rFont val="Calibri"/>
        <family val="2"/>
        <scheme val="minor"/>
      </rPr>
      <t>.pers</t>
    </r>
    <r>
      <rPr>
        <vertAlign val="superscript"/>
        <sz val="14"/>
        <color theme="1"/>
        <rFont val="Calibri"/>
        <family val="2"/>
        <scheme val="minor"/>
      </rPr>
      <t>-1</t>
    </r>
  </si>
  <si>
    <r>
      <t>t CO</t>
    </r>
    <r>
      <rPr>
        <vertAlign val="subscript"/>
        <sz val="14"/>
        <color theme="1"/>
        <rFont val="Calibri"/>
        <family val="2"/>
        <scheme val="minor"/>
      </rPr>
      <t>2</t>
    </r>
    <r>
      <rPr>
        <sz val="14"/>
        <color theme="1"/>
        <rFont val="Calibri"/>
        <family val="2"/>
        <scheme val="minor"/>
      </rPr>
      <t xml:space="preserve"> éq. km</t>
    </r>
    <r>
      <rPr>
        <vertAlign val="superscript"/>
        <sz val="14"/>
        <color theme="1"/>
        <rFont val="Calibri"/>
        <family val="2"/>
        <scheme val="minor"/>
      </rPr>
      <t>-1</t>
    </r>
  </si>
  <si>
    <r>
      <t>t CO</t>
    </r>
    <r>
      <rPr>
        <vertAlign val="subscript"/>
        <sz val="14"/>
        <color theme="1"/>
        <rFont val="Calibri"/>
        <family val="2"/>
        <scheme val="minor"/>
      </rPr>
      <t>2</t>
    </r>
    <r>
      <rPr>
        <sz val="14"/>
        <color theme="1"/>
        <rFont val="Calibri"/>
        <family val="2"/>
        <scheme val="minor"/>
      </rPr>
      <t xml:space="preserve"> éq. km</t>
    </r>
    <r>
      <rPr>
        <vertAlign val="superscript"/>
        <sz val="14"/>
        <color theme="1"/>
        <rFont val="Calibri"/>
        <family val="2"/>
        <scheme val="minor"/>
      </rPr>
      <t>--1</t>
    </r>
  </si>
  <si>
    <t xml:space="preserve">Essence - Combustion dans les sources mobiles (par pers.km) </t>
  </si>
  <si>
    <t>Hypothèse: FÉ divisé par 2 - hypothèse il y a minimum 2 personnes dans le véhicules</t>
  </si>
  <si>
    <t>Hypothèse: 20kg de capacité de charge, 1300 GWP(HCFR134A), 0.2% de perte</t>
  </si>
  <si>
    <t>1. Nom de l'employé</t>
  </si>
  <si>
    <t xml:space="preserve">Nombre de passagers </t>
  </si>
  <si>
    <t>Cordes de bois</t>
  </si>
  <si>
    <t>km</t>
  </si>
  <si>
    <t>t CO2 éq. / bac.km</t>
  </si>
  <si>
    <t>Tranport</t>
  </si>
  <si>
    <r>
      <t>t CO</t>
    </r>
    <r>
      <rPr>
        <vertAlign val="subscript"/>
        <sz val="12"/>
        <color theme="1"/>
        <rFont val="Calibri"/>
        <family val="2"/>
        <scheme val="minor"/>
      </rPr>
      <t>2</t>
    </r>
    <r>
      <rPr>
        <sz val="12"/>
        <color theme="1"/>
        <rFont val="Calibri"/>
        <family val="2"/>
        <scheme val="minor"/>
      </rPr>
      <t xml:space="preserve"> éq. km</t>
    </r>
    <r>
      <rPr>
        <vertAlign val="superscript"/>
        <sz val="12"/>
        <color theme="1"/>
        <rFont val="Calibri"/>
        <family val="2"/>
        <scheme val="minor"/>
      </rPr>
      <t>-1</t>
    </r>
  </si>
  <si>
    <t xml:space="preserve"> VIA Rail-rapport DD-2019.pdf - 
page 46 ligne 305-4</t>
  </si>
  <si>
    <t>GEEKY BUS DETAILS: USA and Canada intercity coaches average = 6 mpg. Average occupancy is 32 passengers, which is an average of 64% full. Per passenger = 2.89 kgCO2 per 100km = 35,000 km per tCO2. Data from "Motorcoach Census", US EPA and "IPCC Emissions Factors" database</t>
  </si>
  <si>
    <t>STM rapport annuel 2020/ rapport DD/tableaux des indicateurs</t>
  </si>
  <si>
    <t>EPA - Emissions Factors for GHG Inventories - Version 4 April 2014
Avec la conversion : 1 mile = 1,609344 km</t>
  </si>
  <si>
    <t>Bières de 340 ml</t>
  </si>
  <si>
    <t>Bières 340 ml</t>
  </si>
  <si>
    <t>t CO2 éq./portion de 340ml</t>
  </si>
  <si>
    <t xml:space="preserve"> 1,12 kg de Co2 par kg de produit - 1,12/1000ml*340ml=0,3706 kgCO2/portion ou 0,0003706 tCO2/portion
</t>
  </si>
  <si>
    <t>ADEME (Bière coeur de marché (4-5° alcool))</t>
  </si>
  <si>
    <t>Vin rouge et blanc (1 verre de 140 ml)</t>
  </si>
  <si>
    <t>t CO2 éq./portion de 140ml</t>
  </si>
  <si>
    <t>0.114/1000ml*140ml - 0.00001596</t>
  </si>
  <si>
    <t>Vin rouge 1.19kgeq. CO2/kg de poids - 0.645kg pour une bouteille de 750 ml</t>
  </si>
  <si>
    <t xml:space="preserve">Vin blanc et rouge (1 bouteille de 750ml) </t>
  </si>
  <si>
    <t xml:space="preserve">Vin blanc et rouge (1 bouteille de 750 ml) </t>
  </si>
  <si>
    <t xml:space="preserve">Commentaires </t>
  </si>
  <si>
    <t>Commentaires</t>
  </si>
  <si>
    <t>Hébergements</t>
  </si>
  <si>
    <r>
      <t>t CO</t>
    </r>
    <r>
      <rPr>
        <vertAlign val="subscript"/>
        <sz val="14"/>
        <color theme="1"/>
        <rFont val="Calibri"/>
        <family val="2"/>
        <scheme val="minor"/>
      </rPr>
      <t>2</t>
    </r>
    <r>
      <rPr>
        <sz val="14"/>
        <color theme="1"/>
        <rFont val="Calibri"/>
        <family val="2"/>
        <scheme val="minor"/>
      </rPr>
      <t xml:space="preserve"> éq. km</t>
    </r>
    <r>
      <rPr>
        <vertAlign val="superscript"/>
        <sz val="14"/>
        <color theme="1"/>
        <rFont val="Calibri"/>
        <family val="2"/>
        <scheme val="minor"/>
      </rPr>
      <t>-1</t>
    </r>
    <r>
      <rPr>
        <sz val="14"/>
        <color theme="1"/>
        <rFont val="Calibri"/>
        <family val="2"/>
        <scheme val="minor"/>
      </rPr>
      <t>.pers</t>
    </r>
    <r>
      <rPr>
        <vertAlign val="superscript"/>
        <sz val="14"/>
        <color theme="1"/>
        <rFont val="Calibri"/>
        <family val="2"/>
        <scheme val="minor"/>
      </rPr>
      <t>-2</t>
    </r>
  </si>
  <si>
    <r>
      <t>T CO</t>
    </r>
    <r>
      <rPr>
        <vertAlign val="subscript"/>
        <sz val="14"/>
        <color theme="1"/>
        <rFont val="Calibri"/>
        <family val="2"/>
        <scheme val="minor"/>
      </rPr>
      <t>2</t>
    </r>
    <r>
      <rPr>
        <sz val="14"/>
        <color theme="1"/>
        <rFont val="Calibri"/>
        <family val="2"/>
        <scheme val="minor"/>
      </rPr>
      <t xml:space="preserve"> éq. km</t>
    </r>
    <r>
      <rPr>
        <vertAlign val="superscript"/>
        <sz val="14"/>
        <color theme="1"/>
        <rFont val="Calibri"/>
        <family val="2"/>
        <scheme val="minor"/>
      </rPr>
      <t>-1</t>
    </r>
    <r>
      <rPr>
        <sz val="14"/>
        <color theme="1"/>
        <rFont val="Calibri"/>
        <family val="2"/>
        <scheme val="minor"/>
      </rPr>
      <t>.pers</t>
    </r>
    <r>
      <rPr>
        <vertAlign val="superscript"/>
        <sz val="14"/>
        <color theme="1"/>
        <rFont val="Calibri"/>
        <family val="2"/>
        <scheme val="minor"/>
      </rPr>
      <t>-1</t>
    </r>
  </si>
  <si>
    <t>Déplacement des employés et des clients</t>
  </si>
  <si>
    <t xml:space="preserve">Transport des clients </t>
  </si>
  <si>
    <t>Voyage d'affaires des employés (avec covoiturage)</t>
  </si>
  <si>
    <t>Employé  Domicile-travail (avec covoiturage)</t>
  </si>
  <si>
    <t>Autres catégories</t>
  </si>
  <si>
    <t>Produit consommables</t>
  </si>
  <si>
    <t>Repas générique</t>
  </si>
  <si>
    <t xml:space="preserve">Spécificité Plein-air </t>
  </si>
  <si>
    <t xml:space="preserve">Émissions relatives aux activités de plein-air </t>
  </si>
  <si>
    <t>Spécificité Restauration</t>
  </si>
  <si>
    <t>Émissions relatives aux activités de restauration</t>
  </si>
  <si>
    <t>Spécificité Hébergement</t>
  </si>
  <si>
    <t>Émissions relatives aux activités d'hébergement</t>
  </si>
  <si>
    <t>Total (en t CO2 éq.)</t>
  </si>
  <si>
    <t>NOTE GÉNÉRALE: Veuillez remplir le calculateur général pour les portées I,II et III. Ensuite, en fonction de vos secteurs d'activités, veuillez remplir les onglets plein-air, restauration et hébergement. Le bilan total sera affiché dans l'onglet sommaire des émissions.</t>
  </si>
  <si>
    <t>Calcul Covoiturage</t>
  </si>
  <si>
    <t xml:space="preserve">Automobile </t>
  </si>
  <si>
    <t>Portée 3 - Transport des clients détails</t>
  </si>
  <si>
    <r>
      <t xml:space="preserve">Si vous avez rempli la section déplacements des clients général </t>
    </r>
    <r>
      <rPr>
        <b/>
        <i/>
        <sz val="16"/>
        <color theme="1"/>
        <rFont val="Calibri"/>
        <family val="2"/>
        <scheme val="minor"/>
      </rPr>
      <t>localisation de la clientèle</t>
    </r>
    <r>
      <rPr>
        <b/>
        <sz val="16"/>
        <color theme="1"/>
        <rFont val="Calibri"/>
        <family val="2"/>
        <scheme val="minor"/>
      </rPr>
      <t xml:space="preserve"> (cellules K34 à K36), ne pas remplir cette section.</t>
    </r>
  </si>
  <si>
    <t>Courte distance (100 km et moins)</t>
  </si>
  <si>
    <t xml:space="preserve">Moyenne distance (101 à 800 km ) </t>
  </si>
  <si>
    <t>Longue distance (plus 801 km)</t>
  </si>
  <si>
    <t>Autobus Urbain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</si>
</sst>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0.000000000"/>
    <numFmt numFmtId="166" formatCode="0.000000"/>
    <numFmt numFmtId="167" formatCode="0.000"/>
    <numFmt numFmtId="168" formatCode="0.0000000"/>
    <numFmt numFmtId="169" formatCode="0.00000"/>
  </numFmts>
  <fonts count="34" x14ac:knownFonts="1">
    <font>
      <sz val="12"/>
      <color theme="1"/>
      <name val="Calibri"/>
      <family val="2"/>
      <scheme val="minor"/>
    </font>
    <font>
      <sz val="12"/>
      <color theme="1"/>
      <name val="Calibri"/>
      <family val="2"/>
      <scheme val="minor"/>
    </font>
    <font>
      <b/>
      <sz val="12"/>
      <color theme="1"/>
      <name val="Calibri"/>
      <family val="2"/>
      <scheme val="minor"/>
    </font>
    <font>
      <b/>
      <sz val="11"/>
      <color theme="1"/>
      <name val="Calibri"/>
      <family val="2"/>
      <scheme val="minor"/>
    </font>
    <font>
      <sz val="10"/>
      <color rgb="FF000000"/>
      <name val="Tahoma"/>
      <family val="2"/>
    </font>
    <font>
      <b/>
      <sz val="10"/>
      <color rgb="FF000000"/>
      <name val="Tahoma"/>
      <family val="2"/>
    </font>
    <font>
      <u/>
      <sz val="12"/>
      <color theme="10"/>
      <name val="Calibri"/>
      <family val="2"/>
      <scheme val="minor"/>
    </font>
    <font>
      <b/>
      <sz val="14"/>
      <color theme="1"/>
      <name val="Calibri"/>
      <family val="2"/>
      <scheme val="minor"/>
    </font>
    <font>
      <b/>
      <vertAlign val="subscript"/>
      <sz val="14"/>
      <color theme="1"/>
      <name val="Calibri"/>
      <family val="2"/>
      <scheme val="minor"/>
    </font>
    <font>
      <sz val="14"/>
      <color theme="1"/>
      <name val="Calibri"/>
      <family val="2"/>
      <scheme val="minor"/>
    </font>
    <font>
      <sz val="14"/>
      <name val="Calibri"/>
      <family val="2"/>
      <scheme val="minor"/>
    </font>
    <font>
      <i/>
      <sz val="14"/>
      <color theme="1"/>
      <name val="Calibri"/>
      <family val="2"/>
      <scheme val="minor"/>
    </font>
    <font>
      <sz val="16"/>
      <color theme="1"/>
      <name val="Calibri"/>
      <family val="2"/>
      <scheme val="minor"/>
    </font>
    <font>
      <b/>
      <sz val="16"/>
      <color theme="1"/>
      <name val="Calibri"/>
      <family val="2"/>
      <scheme val="minor"/>
    </font>
    <font>
      <b/>
      <vertAlign val="subscript"/>
      <sz val="16"/>
      <color theme="1"/>
      <name val="Calibri"/>
      <family val="2"/>
      <scheme val="minor"/>
    </font>
    <font>
      <vertAlign val="subscript"/>
      <sz val="14"/>
      <color theme="1"/>
      <name val="Calibri"/>
      <family val="2"/>
      <scheme val="minor"/>
    </font>
    <font>
      <vertAlign val="superscript"/>
      <sz val="14"/>
      <color theme="1"/>
      <name val="Calibri"/>
      <family val="2"/>
      <scheme val="minor"/>
    </font>
    <font>
      <b/>
      <i/>
      <sz val="14"/>
      <color theme="1"/>
      <name val="Calibri"/>
      <family val="2"/>
      <scheme val="minor"/>
    </font>
    <font>
      <sz val="14"/>
      <color rgb="FF000000"/>
      <name val="Calibri"/>
      <family val="2"/>
      <scheme val="minor"/>
    </font>
    <font>
      <sz val="8"/>
      <name val="Calibri"/>
      <family val="2"/>
      <scheme val="minor"/>
    </font>
    <font>
      <sz val="12"/>
      <color rgb="FF000000"/>
      <name val="Calibri"/>
      <family val="2"/>
      <scheme val="minor"/>
    </font>
    <font>
      <b/>
      <vertAlign val="subscript"/>
      <sz val="12"/>
      <color theme="1"/>
      <name val="Calibri"/>
      <family val="2"/>
      <scheme val="minor"/>
    </font>
    <font>
      <vertAlign val="subscript"/>
      <sz val="12"/>
      <color theme="1"/>
      <name val="Calibri"/>
      <family val="2"/>
      <scheme val="minor"/>
    </font>
    <font>
      <vertAlign val="superscript"/>
      <sz val="12"/>
      <color theme="1"/>
      <name val="Calibri"/>
      <family val="2"/>
      <scheme val="minor"/>
    </font>
    <font>
      <sz val="12"/>
      <color rgb="FF1F497D"/>
      <name val="Calibri"/>
      <family val="2"/>
      <scheme val="minor"/>
    </font>
    <font>
      <sz val="12"/>
      <color rgb="FF000000"/>
      <name val="Helvetica Neue"/>
      <family val="2"/>
    </font>
    <font>
      <b/>
      <sz val="14"/>
      <color rgb="FFFF0000"/>
      <name val="Calibri"/>
      <family val="2"/>
      <scheme val="minor"/>
    </font>
    <font>
      <b/>
      <sz val="13"/>
      <color rgb="FFFF0000"/>
      <name val="Calibri"/>
      <family val="2"/>
      <scheme val="minor"/>
    </font>
    <font>
      <b/>
      <sz val="13"/>
      <color rgb="FFFF0000"/>
      <name val="Calibri (Body)"/>
    </font>
    <font>
      <sz val="13"/>
      <color theme="1"/>
      <name val="Calibri"/>
      <family val="2"/>
      <scheme val="minor"/>
    </font>
    <font>
      <sz val="13"/>
      <color theme="1"/>
      <name val="Arial Narrow"/>
      <family val="2"/>
    </font>
    <font>
      <sz val="13"/>
      <color rgb="FF000000"/>
      <name val="Helvetica Neue"/>
      <family val="2"/>
    </font>
    <font>
      <b/>
      <sz val="18"/>
      <color theme="1"/>
      <name val="Calibri"/>
      <family val="2"/>
      <scheme val="minor"/>
    </font>
    <font>
      <b/>
      <i/>
      <sz val="16"/>
      <color theme="1"/>
      <name val="Calibri"/>
      <family val="2"/>
      <scheme val="minor"/>
    </font>
  </fonts>
  <fills count="14">
    <fill>
      <patternFill patternType="none"/>
    </fill>
    <fill>
      <patternFill patternType="gray125"/>
    </fill>
    <fill>
      <patternFill patternType="solid">
        <fgColor theme="5" tint="0.79998168889431442"/>
        <bgColor indexed="65"/>
      </patternFill>
    </fill>
    <fill>
      <patternFill patternType="solid">
        <fgColor theme="5"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7" tint="0.79998168889431442"/>
        <bgColor indexed="64"/>
      </patternFill>
    </fill>
  </fills>
  <borders count="16">
    <border>
      <left/>
      <right/>
      <top/>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4">
    <xf numFmtId="0" fontId="0" fillId="0" borderId="0"/>
    <xf numFmtId="164" fontId="1" fillId="0" borderId="0" applyFont="0" applyFill="0" applyBorder="0" applyAlignment="0" applyProtection="0"/>
    <xf numFmtId="0" fontId="1" fillId="2" borderId="0" applyNumberFormat="0" applyBorder="0" applyAlignment="0" applyProtection="0"/>
    <xf numFmtId="0" fontId="6" fillId="0" borderId="0" applyNumberFormat="0" applyFill="0" applyBorder="0" applyAlignment="0" applyProtection="0"/>
  </cellStyleXfs>
  <cellXfs count="288">
    <xf numFmtId="0" fontId="0" fillId="0" borderId="0" xfId="0"/>
    <xf numFmtId="0" fontId="3" fillId="0" borderId="1" xfId="0" applyFont="1" applyBorder="1" applyProtection="1">
      <protection locked="0"/>
    </xf>
    <xf numFmtId="0" fontId="0" fillId="0" borderId="1" xfId="0" applyBorder="1" applyProtection="1">
      <protection locked="0"/>
    </xf>
    <xf numFmtId="0" fontId="0" fillId="0" borderId="0" xfId="0" applyProtection="1">
      <protection locked="0"/>
    </xf>
    <xf numFmtId="0" fontId="3" fillId="0" borderId="0" xfId="0" applyFont="1" applyProtection="1">
      <protection locked="0"/>
    </xf>
    <xf numFmtId="0" fontId="0" fillId="0" borderId="0" xfId="0" applyAlignment="1" applyProtection="1">
      <alignment horizontal="center"/>
      <protection locked="0"/>
    </xf>
    <xf numFmtId="0" fontId="0" fillId="0" borderId="1" xfId="0" applyBorder="1"/>
    <xf numFmtId="3" fontId="0" fillId="0" borderId="0" xfId="0" applyNumberFormat="1"/>
    <xf numFmtId="0" fontId="0" fillId="0" borderId="2" xfId="0" applyBorder="1" applyAlignment="1">
      <alignment horizontal="right"/>
    </xf>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7" fillId="5" borderId="3" xfId="0" applyFont="1" applyFill="1" applyBorder="1" applyAlignment="1">
      <alignment vertical="center"/>
    </xf>
    <xf numFmtId="0" fontId="7" fillId="5" borderId="4" xfId="0" applyFont="1" applyFill="1" applyBorder="1" applyAlignment="1">
      <alignment vertical="center"/>
    </xf>
    <xf numFmtId="0" fontId="7" fillId="5" borderId="5" xfId="0" applyFont="1" applyFill="1" applyBorder="1" applyAlignment="1">
      <alignment vertical="center"/>
    </xf>
    <xf numFmtId="0" fontId="7" fillId="0" borderId="1" xfId="0" applyFont="1" applyBorder="1"/>
    <xf numFmtId="0" fontId="9" fillId="0" borderId="2" xfId="0" applyFont="1" applyBorder="1" applyAlignment="1">
      <alignment horizontal="right"/>
    </xf>
    <xf numFmtId="3" fontId="9" fillId="0" borderId="0" xfId="0" applyNumberFormat="1" applyFont="1" applyProtection="1">
      <protection locked="0"/>
    </xf>
    <xf numFmtId="0" fontId="9" fillId="0" borderId="0" xfId="0" applyFont="1"/>
    <xf numFmtId="0" fontId="10" fillId="0" borderId="0" xfId="0" applyFont="1" applyProtection="1">
      <protection locked="0"/>
    </xf>
    <xf numFmtId="0" fontId="9" fillId="0" borderId="0" xfId="0" applyFont="1" applyProtection="1">
      <protection locked="0"/>
    </xf>
    <xf numFmtId="2" fontId="9" fillId="0" borderId="0" xfId="0" applyNumberFormat="1" applyFont="1" applyProtection="1">
      <protection locked="0"/>
    </xf>
    <xf numFmtId="2" fontId="9" fillId="0" borderId="0" xfId="1" applyNumberFormat="1" applyFont="1" applyBorder="1" applyProtection="1">
      <protection locked="0"/>
    </xf>
    <xf numFmtId="0" fontId="9" fillId="0" borderId="6" xfId="0" applyFont="1" applyBorder="1"/>
    <xf numFmtId="0" fontId="9" fillId="0" borderId="1" xfId="0" applyFont="1" applyBorder="1"/>
    <xf numFmtId="0" fontId="9" fillId="2" borderId="0" xfId="2" applyFont="1" applyProtection="1">
      <protection locked="0"/>
    </xf>
    <xf numFmtId="0" fontId="7" fillId="0" borderId="0" xfId="0" applyFont="1"/>
    <xf numFmtId="0" fontId="7" fillId="0" borderId="8" xfId="0" applyFont="1" applyBorder="1"/>
    <xf numFmtId="0" fontId="0" fillId="0" borderId="1" xfId="0" applyBorder="1" applyAlignment="1" applyProtection="1">
      <alignment horizontal="center"/>
      <protection locked="0"/>
    </xf>
    <xf numFmtId="0" fontId="12" fillId="0" borderId="2" xfId="0" applyFont="1" applyBorder="1" applyAlignment="1">
      <alignment horizontal="right"/>
    </xf>
    <xf numFmtId="167" fontId="12" fillId="0" borderId="8" xfId="0" applyNumberFormat="1" applyFont="1" applyBorder="1"/>
    <xf numFmtId="0" fontId="13" fillId="9" borderId="3" xfId="0" applyFont="1" applyFill="1" applyBorder="1"/>
    <xf numFmtId="167" fontId="12" fillId="9" borderId="5" xfId="0" applyNumberFormat="1" applyFont="1" applyFill="1" applyBorder="1"/>
    <xf numFmtId="0" fontId="13" fillId="10" borderId="3" xfId="0" applyFont="1" applyFill="1" applyBorder="1"/>
    <xf numFmtId="167" fontId="12" fillId="10" borderId="5" xfId="0" applyNumberFormat="1" applyFont="1" applyFill="1" applyBorder="1"/>
    <xf numFmtId="0" fontId="7" fillId="0" borderId="2" xfId="0" applyFont="1" applyBorder="1"/>
    <xf numFmtId="0" fontId="7" fillId="0" borderId="10" xfId="0" applyFont="1" applyBorder="1"/>
    <xf numFmtId="0" fontId="9" fillId="0" borderId="10" xfId="0" applyFont="1" applyBorder="1"/>
    <xf numFmtId="0" fontId="9" fillId="2" borderId="0" xfId="2" applyFont="1" applyBorder="1" applyAlignment="1" applyProtection="1">
      <alignment horizontal="right" vertical="center"/>
      <protection locked="0"/>
    </xf>
    <xf numFmtId="0" fontId="9" fillId="0" borderId="10" xfId="0" applyFont="1" applyBorder="1" applyAlignment="1" applyProtection="1">
      <alignment horizontal="center"/>
      <protection locked="0"/>
    </xf>
    <xf numFmtId="0" fontId="9" fillId="0" borderId="0" xfId="0" applyFont="1" applyAlignment="1" applyProtection="1">
      <alignment horizontal="center"/>
      <protection locked="0"/>
    </xf>
    <xf numFmtId="0" fontId="9" fillId="0" borderId="6" xfId="0" applyFont="1" applyBorder="1" applyAlignment="1">
      <alignment horizontal="right"/>
    </xf>
    <xf numFmtId="3" fontId="9" fillId="0" borderId="1" xfId="0" applyNumberFormat="1" applyFont="1" applyBorder="1" applyProtection="1">
      <protection locked="0"/>
    </xf>
    <xf numFmtId="0" fontId="0" fillId="0" borderId="9" xfId="0" applyBorder="1"/>
    <xf numFmtId="0" fontId="9" fillId="0" borderId="1" xfId="0" applyFont="1" applyBorder="1" applyAlignment="1" applyProtection="1">
      <alignment horizontal="center"/>
      <protection locked="0"/>
    </xf>
    <xf numFmtId="0" fontId="9" fillId="0" borderId="2" xfId="0" applyFont="1" applyBorder="1"/>
    <xf numFmtId="0" fontId="9" fillId="2" borderId="0" xfId="2" applyFont="1" applyBorder="1" applyProtection="1">
      <protection locked="0"/>
    </xf>
    <xf numFmtId="0" fontId="9" fillId="0" borderId="1" xfId="0" applyFont="1" applyBorder="1" applyProtection="1">
      <protection locked="0"/>
    </xf>
    <xf numFmtId="0" fontId="0" fillId="0" borderId="2" xfId="0" applyBorder="1"/>
    <xf numFmtId="0" fontId="7" fillId="10" borderId="2" xfId="0" applyFont="1" applyFill="1" applyBorder="1" applyAlignment="1">
      <alignment horizontal="right" vertical="center"/>
    </xf>
    <xf numFmtId="0" fontId="7" fillId="10" borderId="0" xfId="0" applyFont="1" applyFill="1"/>
    <xf numFmtId="0" fontId="9" fillId="10" borderId="1" xfId="0" applyFont="1" applyFill="1" applyBorder="1"/>
    <xf numFmtId="0" fontId="7" fillId="10" borderId="1" xfId="0" applyFont="1" applyFill="1" applyBorder="1"/>
    <xf numFmtId="3" fontId="7" fillId="10" borderId="1" xfId="0" applyNumberFormat="1" applyFont="1" applyFill="1" applyBorder="1"/>
    <xf numFmtId="3" fontId="7" fillId="10" borderId="4" xfId="0" applyNumberFormat="1" applyFont="1" applyFill="1" applyBorder="1"/>
    <xf numFmtId="0" fontId="7" fillId="10" borderId="4" xfId="0" applyFont="1" applyFill="1" applyBorder="1"/>
    <xf numFmtId="0" fontId="7" fillId="10" borderId="5" xfId="0" applyFont="1" applyFill="1" applyBorder="1"/>
    <xf numFmtId="0" fontId="0" fillId="10" borderId="5" xfId="0" applyFill="1" applyBorder="1"/>
    <xf numFmtId="0" fontId="7" fillId="10" borderId="3" xfId="0" applyFont="1" applyFill="1" applyBorder="1"/>
    <xf numFmtId="0" fontId="9" fillId="10" borderId="4" xfId="0" applyFont="1" applyFill="1" applyBorder="1"/>
    <xf numFmtId="0" fontId="7" fillId="11" borderId="2" xfId="0" applyFont="1" applyFill="1" applyBorder="1" applyAlignment="1">
      <alignment horizontal="center"/>
    </xf>
    <xf numFmtId="0" fontId="7" fillId="11" borderId="0" xfId="0" applyFont="1" applyFill="1" applyAlignment="1">
      <alignment horizontal="center"/>
    </xf>
    <xf numFmtId="0" fontId="7" fillId="11" borderId="8" xfId="0" applyFont="1" applyFill="1" applyBorder="1" applyAlignment="1">
      <alignment horizontal="center"/>
    </xf>
    <xf numFmtId="0" fontId="0" fillId="10" borderId="4" xfId="0" applyFill="1" applyBorder="1"/>
    <xf numFmtId="0" fontId="7" fillId="6" borderId="4" xfId="0" applyFont="1" applyFill="1" applyBorder="1"/>
    <xf numFmtId="0" fontId="0" fillId="6" borderId="4" xfId="0" applyFill="1" applyBorder="1"/>
    <xf numFmtId="0" fontId="0" fillId="6" borderId="5" xfId="0" applyFill="1" applyBorder="1"/>
    <xf numFmtId="0" fontId="1" fillId="2" borderId="10" xfId="2" applyBorder="1" applyProtection="1">
      <protection locked="0"/>
    </xf>
    <xf numFmtId="0" fontId="7" fillId="10" borderId="6" xfId="0" applyFont="1" applyFill="1" applyBorder="1"/>
    <xf numFmtId="167" fontId="9" fillId="0" borderId="0" xfId="0" applyNumberFormat="1" applyFont="1"/>
    <xf numFmtId="167" fontId="9" fillId="0" borderId="1" xfId="0" applyNumberFormat="1" applyFont="1" applyBorder="1"/>
    <xf numFmtId="167" fontId="9" fillId="0" borderId="8" xfId="0" applyNumberFormat="1" applyFont="1" applyBorder="1"/>
    <xf numFmtId="0" fontId="7" fillId="10" borderId="7" xfId="0" applyFont="1" applyFill="1" applyBorder="1"/>
    <xf numFmtId="0" fontId="7" fillId="10" borderId="6" xfId="0" applyFont="1" applyFill="1" applyBorder="1" applyAlignment="1">
      <alignment horizontal="left"/>
    </xf>
    <xf numFmtId="0" fontId="18" fillId="0" borderId="2" xfId="0" applyFont="1" applyBorder="1" applyAlignment="1">
      <alignment horizontal="right"/>
    </xf>
    <xf numFmtId="167" fontId="9" fillId="0" borderId="7" xfId="0" applyNumberFormat="1" applyFont="1" applyBorder="1"/>
    <xf numFmtId="0" fontId="7" fillId="6" borderId="3" xfId="0" applyFont="1" applyFill="1" applyBorder="1" applyAlignment="1">
      <alignment vertical="center"/>
    </xf>
    <xf numFmtId="0" fontId="7" fillId="6" borderId="5" xfId="0" applyFont="1" applyFill="1" applyBorder="1" applyAlignment="1">
      <alignment vertical="center"/>
    </xf>
    <xf numFmtId="0" fontId="7" fillId="7" borderId="3" xfId="0" applyFont="1" applyFill="1" applyBorder="1"/>
    <xf numFmtId="0" fontId="7" fillId="7" borderId="5" xfId="0" applyFont="1" applyFill="1" applyBorder="1"/>
    <xf numFmtId="0" fontId="7" fillId="10" borderId="6" xfId="0" applyFont="1" applyFill="1" applyBorder="1" applyAlignment="1">
      <alignment horizontal="right"/>
    </xf>
    <xf numFmtId="3" fontId="7" fillId="10" borderId="3" xfId="0" applyNumberFormat="1" applyFont="1" applyFill="1" applyBorder="1" applyAlignment="1">
      <alignment horizontal="right"/>
    </xf>
    <xf numFmtId="0" fontId="9" fillId="0" borderId="0" xfId="0" applyFont="1" applyAlignment="1">
      <alignment horizontal="right"/>
    </xf>
    <xf numFmtId="167" fontId="9" fillId="0" borderId="11" xfId="0" applyNumberFormat="1" applyFont="1" applyBorder="1"/>
    <xf numFmtId="0" fontId="7" fillId="6" borderId="3" xfId="0" applyFont="1" applyFill="1" applyBorder="1"/>
    <xf numFmtId="0" fontId="12" fillId="6" borderId="4" xfId="0" applyFont="1" applyFill="1" applyBorder="1"/>
    <xf numFmtId="0" fontId="7" fillId="6" borderId="5" xfId="0" applyFont="1" applyFill="1" applyBorder="1"/>
    <xf numFmtId="0" fontId="9" fillId="0" borderId="2" xfId="0" applyFont="1" applyBorder="1" applyAlignment="1">
      <alignment horizontal="left"/>
    </xf>
    <xf numFmtId="0" fontId="9" fillId="0" borderId="0" xfId="0" applyFont="1" applyAlignment="1">
      <alignment horizontal="left"/>
    </xf>
    <xf numFmtId="0" fontId="7" fillId="0" borderId="0" xfId="0" applyFont="1" applyAlignment="1">
      <alignment horizontal="left"/>
    </xf>
    <xf numFmtId="0" fontId="9" fillId="0" borderId="8" xfId="0" applyFont="1" applyBorder="1"/>
    <xf numFmtId="0" fontId="13" fillId="8" borderId="3" xfId="0" applyFont="1" applyFill="1" applyBorder="1" applyAlignment="1">
      <alignment vertical="center"/>
    </xf>
    <xf numFmtId="0" fontId="13" fillId="8" borderId="5" xfId="0" applyFont="1" applyFill="1" applyBorder="1" applyAlignment="1">
      <alignment vertical="center"/>
    </xf>
    <xf numFmtId="167" fontId="12" fillId="3" borderId="5" xfId="0" applyNumberFormat="1" applyFont="1" applyFill="1" applyBorder="1"/>
    <xf numFmtId="0" fontId="13" fillId="3" borderId="3" xfId="0" applyFont="1" applyFill="1" applyBorder="1"/>
    <xf numFmtId="0" fontId="12" fillId="0" borderId="2" xfId="0" applyFont="1" applyBorder="1"/>
    <xf numFmtId="167" fontId="12" fillId="0" borderId="7" xfId="0" applyNumberFormat="1" applyFont="1" applyBorder="1"/>
    <xf numFmtId="0" fontId="7" fillId="0" borderId="9" xfId="0" applyFont="1" applyBorder="1"/>
    <xf numFmtId="0" fontId="9" fillId="0" borderId="11" xfId="0" applyFont="1" applyBorder="1"/>
    <xf numFmtId="0" fontId="7" fillId="10" borderId="8" xfId="0" applyFont="1" applyFill="1" applyBorder="1"/>
    <xf numFmtId="0" fontId="7" fillId="10" borderId="3" xfId="0" applyFont="1" applyFill="1" applyBorder="1" applyAlignment="1">
      <alignment vertical="center"/>
    </xf>
    <xf numFmtId="0" fontId="7" fillId="10" borderId="4" xfId="0" applyFont="1" applyFill="1" applyBorder="1" applyAlignment="1">
      <alignment vertical="center"/>
    </xf>
    <xf numFmtId="0" fontId="7" fillId="10" borderId="4" xfId="0" applyFont="1" applyFill="1" applyBorder="1" applyAlignment="1">
      <alignment horizontal="center" vertical="center" wrapText="1"/>
    </xf>
    <xf numFmtId="0" fontId="7" fillId="10" borderId="5" xfId="0" applyFont="1" applyFill="1" applyBorder="1" applyAlignment="1">
      <alignment horizontal="left" vertical="center" wrapText="1"/>
    </xf>
    <xf numFmtId="0" fontId="9" fillId="0" borderId="1" xfId="0" applyFont="1" applyBorder="1" applyAlignment="1">
      <alignment horizontal="right"/>
    </xf>
    <xf numFmtId="0" fontId="12" fillId="0" borderId="0" xfId="0" applyFont="1"/>
    <xf numFmtId="0" fontId="9" fillId="0" borderId="4" xfId="0" applyFont="1" applyBorder="1"/>
    <xf numFmtId="0" fontId="9" fillId="0" borderId="5" xfId="0" applyFont="1" applyBorder="1"/>
    <xf numFmtId="0" fontId="7" fillId="11" borderId="4" xfId="0" applyFont="1" applyFill="1" applyBorder="1" applyAlignment="1">
      <alignment vertical="center"/>
    </xf>
    <xf numFmtId="0" fontId="7" fillId="10" borderId="0" xfId="0" applyFont="1" applyFill="1" applyAlignment="1">
      <alignment horizontal="center" vertical="center"/>
    </xf>
    <xf numFmtId="0" fontId="1" fillId="2" borderId="0" xfId="2" applyProtection="1">
      <protection locked="0"/>
    </xf>
    <xf numFmtId="0" fontId="0" fillId="10" borderId="0" xfId="0" applyFill="1"/>
    <xf numFmtId="0" fontId="9" fillId="0" borderId="2" xfId="0" applyFont="1" applyBorder="1" applyAlignment="1">
      <alignment wrapText="1"/>
    </xf>
    <xf numFmtId="0" fontId="12" fillId="0" borderId="0" xfId="0" applyFont="1" applyAlignment="1">
      <alignment horizontal="right"/>
    </xf>
    <xf numFmtId="167" fontId="12" fillId="0" borderId="11" xfId="0" applyNumberFormat="1" applyFont="1" applyBorder="1"/>
    <xf numFmtId="0" fontId="1" fillId="2" borderId="0" xfId="2" applyBorder="1" applyProtection="1">
      <protection locked="0"/>
    </xf>
    <xf numFmtId="0" fontId="1" fillId="2" borderId="1" xfId="2" applyBorder="1" applyProtection="1">
      <protection locked="0"/>
    </xf>
    <xf numFmtId="3" fontId="1" fillId="2" borderId="0" xfId="2" applyNumberFormat="1" applyBorder="1" applyProtection="1">
      <protection locked="0"/>
    </xf>
    <xf numFmtId="166" fontId="9" fillId="0" borderId="11" xfId="0" applyNumberFormat="1" applyFont="1" applyBorder="1"/>
    <xf numFmtId="166" fontId="9" fillId="0" borderId="8" xfId="0" applyNumberFormat="1" applyFont="1" applyBorder="1"/>
    <xf numFmtId="166" fontId="9" fillId="0" borderId="7" xfId="0" applyNumberFormat="1" applyFont="1" applyBorder="1"/>
    <xf numFmtId="169" fontId="9" fillId="0" borderId="8" xfId="0" applyNumberFormat="1" applyFont="1" applyBorder="1"/>
    <xf numFmtId="0" fontId="0" fillId="0" borderId="10" xfId="0" applyBorder="1"/>
    <xf numFmtId="167" fontId="12" fillId="0" borderId="0" xfId="0" applyNumberFormat="1" applyFont="1"/>
    <xf numFmtId="0" fontId="3" fillId="0" borderId="9" xfId="0" applyFont="1" applyBorder="1"/>
    <xf numFmtId="0" fontId="7" fillId="10" borderId="3" xfId="0" applyFont="1" applyFill="1" applyBorder="1" applyAlignment="1">
      <alignment horizontal="center" vertical="center"/>
    </xf>
    <xf numFmtId="0" fontId="9" fillId="10" borderId="0" xfId="0" applyFont="1" applyFill="1" applyAlignment="1">
      <alignment horizontal="center" vertical="center"/>
    </xf>
    <xf numFmtId="0" fontId="9" fillId="10" borderId="4" xfId="0" applyFont="1" applyFill="1" applyBorder="1" applyAlignment="1">
      <alignment horizontal="center" vertical="center"/>
    </xf>
    <xf numFmtId="0" fontId="7" fillId="10" borderId="5" xfId="0" applyFont="1" applyFill="1" applyBorder="1" applyAlignment="1">
      <alignment horizontal="center" vertical="center"/>
    </xf>
    <xf numFmtId="0" fontId="7" fillId="11" borderId="3" xfId="0" applyFont="1" applyFill="1" applyBorder="1" applyAlignment="1">
      <alignment vertical="center"/>
    </xf>
    <xf numFmtId="0" fontId="7" fillId="11" borderId="5" xfId="0" applyFont="1" applyFill="1" applyBorder="1" applyAlignment="1">
      <alignment vertical="center"/>
    </xf>
    <xf numFmtId="0" fontId="2" fillId="10" borderId="0" xfId="0" applyFont="1" applyFill="1" applyAlignment="1">
      <alignment horizontal="left"/>
    </xf>
    <xf numFmtId="0" fontId="2" fillId="10" borderId="0" xfId="0" applyFont="1" applyFill="1"/>
    <xf numFmtId="0" fontId="2" fillId="10" borderId="0" xfId="0" applyFont="1" applyFill="1" applyAlignment="1">
      <alignment horizontal="center"/>
    </xf>
    <xf numFmtId="0" fontId="0" fillId="0" borderId="0" xfId="0" applyAlignment="1">
      <alignment horizontal="left"/>
    </xf>
    <xf numFmtId="165" fontId="0" fillId="0" borderId="0" xfId="0" applyNumberFormat="1"/>
    <xf numFmtId="0" fontId="30" fillId="0" borderId="0" xfId="0" applyFont="1"/>
    <xf numFmtId="165" fontId="2" fillId="10" borderId="0" xfId="0" applyNumberFormat="1" applyFont="1" applyFill="1" applyAlignment="1">
      <alignment horizontal="center"/>
    </xf>
    <xf numFmtId="165" fontId="0" fillId="0" borderId="0" xfId="0" applyNumberFormat="1" applyAlignment="1">
      <alignment horizontal="right"/>
    </xf>
    <xf numFmtId="0" fontId="0" fillId="0" borderId="0" xfId="0" applyAlignment="1">
      <alignment horizontal="center"/>
    </xf>
    <xf numFmtId="0" fontId="2" fillId="0" borderId="0" xfId="0" applyFont="1"/>
    <xf numFmtId="0" fontId="20" fillId="0" borderId="0" xfId="0" applyFont="1" applyAlignment="1">
      <alignment wrapText="1"/>
    </xf>
    <xf numFmtId="0" fontId="6" fillId="0" borderId="0" xfId="3" applyBorder="1"/>
    <xf numFmtId="10" fontId="0" fillId="0" borderId="0" xfId="0" applyNumberFormat="1"/>
    <xf numFmtId="0" fontId="24" fillId="0" borderId="0" xfId="0" applyFont="1" applyAlignment="1">
      <alignment vertical="center"/>
    </xf>
    <xf numFmtId="0" fontId="0" fillId="0" borderId="0" xfId="0" applyAlignment="1">
      <alignment wrapText="1"/>
    </xf>
    <xf numFmtId="166" fontId="0" fillId="0" borderId="0" xfId="0" applyNumberFormat="1"/>
    <xf numFmtId="0" fontId="0" fillId="0" borderId="0" xfId="0" applyAlignment="1">
      <alignment horizontal="right"/>
    </xf>
    <xf numFmtId="0" fontId="2" fillId="0" borderId="0" xfId="0" applyFont="1" applyAlignment="1">
      <alignment horizontal="left"/>
    </xf>
    <xf numFmtId="0" fontId="6" fillId="0" borderId="0" xfId="3" applyBorder="1" applyAlignment="1">
      <alignment wrapText="1"/>
    </xf>
    <xf numFmtId="0" fontId="0" fillId="12" borderId="0" xfId="0" applyFill="1"/>
    <xf numFmtId="168" fontId="0" fillId="0" borderId="0" xfId="0" applyNumberFormat="1"/>
    <xf numFmtId="0" fontId="20" fillId="0" borderId="0" xfId="0" applyFont="1"/>
    <xf numFmtId="0" fontId="25" fillId="0" borderId="0" xfId="0" applyFont="1"/>
    <xf numFmtId="0" fontId="31" fillId="0" borderId="0" xfId="0" applyFont="1"/>
    <xf numFmtId="0" fontId="0" fillId="10" borderId="0" xfId="0" applyFill="1" applyAlignment="1">
      <alignment horizontal="right"/>
    </xf>
    <xf numFmtId="0" fontId="25" fillId="10" borderId="0" xfId="0" applyFont="1" applyFill="1"/>
    <xf numFmtId="0" fontId="9" fillId="0" borderId="9" xfId="0" applyFont="1" applyBorder="1" applyAlignment="1">
      <alignment horizontal="right"/>
    </xf>
    <xf numFmtId="0" fontId="7" fillId="10" borderId="3" xfId="0" applyFont="1" applyFill="1" applyBorder="1" applyAlignment="1">
      <alignment horizontal="center"/>
    </xf>
    <xf numFmtId="0" fontId="7" fillId="10" borderId="4" xfId="0" applyFont="1" applyFill="1" applyBorder="1" applyAlignment="1">
      <alignment horizontal="center"/>
    </xf>
    <xf numFmtId="3" fontId="9" fillId="0" borderId="10" xfId="0" applyNumberFormat="1" applyFont="1" applyBorder="1" applyProtection="1">
      <protection locked="0"/>
    </xf>
    <xf numFmtId="0" fontId="6" fillId="0" borderId="0" xfId="3"/>
    <xf numFmtId="0" fontId="17" fillId="0" borderId="4" xfId="0" applyFont="1" applyBorder="1"/>
    <xf numFmtId="0" fontId="9" fillId="0" borderId="2" xfId="0" applyFont="1" applyBorder="1" applyAlignment="1" applyProtection="1">
      <alignment horizontal="right"/>
      <protection locked="0"/>
    </xf>
    <xf numFmtId="0" fontId="0" fillId="0" borderId="0" xfId="0" applyAlignment="1">
      <alignment vertical="center"/>
    </xf>
    <xf numFmtId="0" fontId="0" fillId="0" borderId="0" xfId="0" applyAlignment="1">
      <alignment horizontal="left" vertical="center" wrapText="1"/>
    </xf>
    <xf numFmtId="0" fontId="7" fillId="0" borderId="1" xfId="0" applyFont="1" applyBorder="1" applyAlignment="1">
      <alignment horizontal="right"/>
    </xf>
    <xf numFmtId="0" fontId="7" fillId="10" borderId="9" xfId="0" applyFont="1" applyFill="1" applyBorder="1" applyAlignment="1">
      <alignment horizontal="center"/>
    </xf>
    <xf numFmtId="0" fontId="7" fillId="5" borderId="12" xfId="0" applyFont="1" applyFill="1" applyBorder="1" applyAlignment="1">
      <alignment horizontal="center" vertical="center"/>
    </xf>
    <xf numFmtId="0" fontId="7" fillId="10" borderId="12" xfId="0" applyFont="1" applyFill="1" applyBorder="1" applyAlignment="1">
      <alignment horizontal="center"/>
    </xf>
    <xf numFmtId="0" fontId="7" fillId="6" borderId="15" xfId="0" applyFont="1" applyFill="1" applyBorder="1" applyAlignment="1">
      <alignment horizontal="center" vertical="center"/>
    </xf>
    <xf numFmtId="0" fontId="7" fillId="10" borderId="15" xfId="0" applyFont="1" applyFill="1" applyBorder="1" applyAlignment="1">
      <alignment horizontal="center"/>
    </xf>
    <xf numFmtId="0" fontId="7" fillId="10" borderId="12" xfId="0" applyFont="1" applyFill="1" applyBorder="1" applyAlignment="1">
      <alignment horizontal="center" vertical="center"/>
    </xf>
    <xf numFmtId="0" fontId="0" fillId="0" borderId="14" xfId="0" applyBorder="1"/>
    <xf numFmtId="0" fontId="7" fillId="10" borderId="15" xfId="0" applyFont="1" applyFill="1" applyBorder="1" applyAlignment="1">
      <alignment horizontal="center" vertical="center"/>
    </xf>
    <xf numFmtId="0" fontId="0" fillId="0" borderId="12" xfId="0" applyBorder="1" applyProtection="1">
      <protection locked="0"/>
    </xf>
    <xf numFmtId="0" fontId="7" fillId="0" borderId="13" xfId="0" applyFont="1" applyBorder="1" applyProtection="1">
      <protection locked="0"/>
    </xf>
    <xf numFmtId="167" fontId="9" fillId="0" borderId="13" xfId="0" applyNumberFormat="1" applyFont="1" applyBorder="1" applyProtection="1">
      <protection locked="0"/>
    </xf>
    <xf numFmtId="167" fontId="9" fillId="0" borderId="12" xfId="0" applyNumberFormat="1" applyFont="1" applyBorder="1" applyProtection="1">
      <protection locked="0"/>
    </xf>
    <xf numFmtId="167" fontId="9" fillId="0" borderId="14" xfId="0" applyNumberFormat="1" applyFont="1" applyBorder="1" applyProtection="1">
      <protection locked="0"/>
    </xf>
    <xf numFmtId="0" fontId="11" fillId="0" borderId="12" xfId="0" applyFont="1" applyBorder="1" applyAlignment="1" applyProtection="1">
      <alignment horizontal="center" wrapText="1"/>
      <protection locked="0"/>
    </xf>
    <xf numFmtId="167" fontId="9" fillId="0" borderId="0" xfId="0" applyNumberFormat="1" applyFont="1" applyProtection="1">
      <protection locked="0"/>
    </xf>
    <xf numFmtId="0" fontId="29" fillId="0" borderId="0" xfId="0" applyFont="1" applyAlignment="1" applyProtection="1">
      <alignment horizontal="center"/>
      <protection locked="0"/>
    </xf>
    <xf numFmtId="167" fontId="9" fillId="0" borderId="7" xfId="0" applyNumberFormat="1" applyFont="1" applyBorder="1" applyProtection="1">
      <protection locked="0"/>
    </xf>
    <xf numFmtId="0" fontId="0" fillId="0" borderId="10" xfId="0" applyBorder="1" applyProtection="1">
      <protection locked="0"/>
    </xf>
    <xf numFmtId="0" fontId="7" fillId="0" borderId="0" xfId="0" applyFont="1" applyProtection="1">
      <protection locked="0"/>
    </xf>
    <xf numFmtId="0" fontId="0" fillId="0" borderId="2" xfId="0" applyBorder="1" applyProtection="1">
      <protection locked="0"/>
    </xf>
    <xf numFmtId="0" fontId="0" fillId="0" borderId="8" xfId="0" applyBorder="1" applyProtection="1">
      <protection locked="0"/>
    </xf>
    <xf numFmtId="0" fontId="0" fillId="0" borderId="6" xfId="0" applyBorder="1" applyProtection="1">
      <protection locked="0"/>
    </xf>
    <xf numFmtId="0" fontId="0" fillId="0" borderId="7" xfId="0" applyBorder="1" applyProtection="1">
      <protection locked="0"/>
    </xf>
    <xf numFmtId="0" fontId="9" fillId="0" borderId="12" xfId="0" applyFont="1" applyBorder="1" applyProtection="1">
      <protection locked="0"/>
    </xf>
    <xf numFmtId="0" fontId="9" fillId="0" borderId="13" xfId="0" applyFont="1" applyBorder="1" applyProtection="1">
      <protection locked="0"/>
    </xf>
    <xf numFmtId="0" fontId="0" fillId="0" borderId="14" xfId="0" applyBorder="1" applyProtection="1">
      <protection locked="0"/>
    </xf>
    <xf numFmtId="0" fontId="0" fillId="0" borderId="13" xfId="0" applyBorder="1" applyProtection="1">
      <protection locked="0"/>
    </xf>
    <xf numFmtId="0" fontId="7" fillId="10" borderId="15" xfId="0" applyFont="1" applyFill="1" applyBorder="1" applyAlignment="1" applyProtection="1">
      <alignment horizontal="center"/>
      <protection locked="0"/>
    </xf>
    <xf numFmtId="0" fontId="7" fillId="10" borderId="13" xfId="0" applyFont="1" applyFill="1" applyBorder="1" applyAlignment="1" applyProtection="1">
      <alignment horizontal="center"/>
      <protection locked="0"/>
    </xf>
    <xf numFmtId="0" fontId="26" fillId="12" borderId="13" xfId="0" applyFont="1" applyFill="1" applyBorder="1" applyAlignment="1" applyProtection="1">
      <alignment horizontal="center" vertical="center" wrapText="1"/>
      <protection locked="0"/>
    </xf>
    <xf numFmtId="0" fontId="7" fillId="6" borderId="15" xfId="0" applyFont="1" applyFill="1" applyBorder="1" applyAlignment="1" applyProtection="1">
      <alignment horizontal="center"/>
      <protection locked="0"/>
    </xf>
    <xf numFmtId="167" fontId="9" fillId="0" borderId="13" xfId="0" applyNumberFormat="1" applyFont="1" applyBorder="1" applyAlignment="1" applyProtection="1">
      <alignment horizontal="center"/>
      <protection locked="0"/>
    </xf>
    <xf numFmtId="167" fontId="9" fillId="0" borderId="12" xfId="0" applyNumberFormat="1" applyFont="1" applyBorder="1" applyAlignment="1" applyProtection="1">
      <alignment horizontal="center"/>
      <protection locked="0"/>
    </xf>
    <xf numFmtId="166" fontId="9" fillId="0" borderId="13" xfId="0" applyNumberFormat="1" applyFont="1" applyBorder="1" applyProtection="1">
      <protection locked="0"/>
    </xf>
    <xf numFmtId="0" fontId="7" fillId="10" borderId="12" xfId="0" applyFont="1" applyFill="1" applyBorder="1" applyAlignment="1" applyProtection="1">
      <alignment horizontal="center"/>
      <protection locked="0"/>
    </xf>
    <xf numFmtId="0" fontId="0" fillId="0" borderId="13" xfId="0" applyBorder="1" applyAlignment="1" applyProtection="1">
      <alignment horizontal="center"/>
      <protection locked="0"/>
    </xf>
    <xf numFmtId="0" fontId="3" fillId="0" borderId="0" xfId="0" applyFont="1" applyAlignment="1" applyProtection="1">
      <alignment vertical="center"/>
      <protection locked="0"/>
    </xf>
    <xf numFmtId="169" fontId="9" fillId="0" borderId="0" xfId="0" applyNumberFormat="1" applyFont="1"/>
    <xf numFmtId="169" fontId="0" fillId="0" borderId="0" xfId="0" applyNumberFormat="1"/>
    <xf numFmtId="0" fontId="0" fillId="0" borderId="0" xfId="0" applyAlignment="1">
      <alignment horizontal="right" wrapText="1"/>
    </xf>
    <xf numFmtId="0" fontId="13" fillId="0" borderId="2" xfId="0" applyFont="1" applyBorder="1" applyAlignment="1">
      <alignment horizontal="center"/>
    </xf>
    <xf numFmtId="0" fontId="13" fillId="0" borderId="8" xfId="0" applyFont="1" applyBorder="1" applyAlignment="1">
      <alignment horizontal="center"/>
    </xf>
    <xf numFmtId="0" fontId="12" fillId="0" borderId="9" xfId="0" applyFont="1" applyBorder="1" applyAlignment="1">
      <alignment horizontal="right"/>
    </xf>
    <xf numFmtId="167" fontId="12" fillId="0" borderId="11" xfId="0" applyNumberFormat="1" applyFont="1" applyBorder="1" applyAlignment="1">
      <alignment horizontal="right"/>
    </xf>
    <xf numFmtId="167" fontId="12" fillId="0" borderId="8" xfId="0" applyNumberFormat="1" applyFont="1" applyBorder="1" applyAlignment="1">
      <alignment horizontal="right"/>
    </xf>
    <xf numFmtId="0" fontId="12" fillId="0" borderId="2" xfId="0" applyFont="1" applyBorder="1" applyAlignment="1">
      <alignment horizontal="center"/>
    </xf>
    <xf numFmtId="0" fontId="13" fillId="5" borderId="3" xfId="0" applyFont="1" applyFill="1" applyBorder="1" applyAlignment="1">
      <alignment horizontal="right"/>
    </xf>
    <xf numFmtId="167" fontId="12" fillId="5" borderId="7" xfId="0" applyNumberFormat="1" applyFont="1" applyFill="1" applyBorder="1"/>
    <xf numFmtId="0" fontId="13" fillId="0" borderId="0" xfId="0" applyFont="1" applyAlignment="1">
      <alignment vertical="center"/>
    </xf>
    <xf numFmtId="0" fontId="13" fillId="0" borderId="0" xfId="0" applyFont="1"/>
    <xf numFmtId="0" fontId="7" fillId="0" borderId="0" xfId="0" applyFont="1" applyAlignment="1">
      <alignment horizontal="center"/>
    </xf>
    <xf numFmtId="0" fontId="7" fillId="11" borderId="11" xfId="0" applyFont="1" applyFill="1" applyBorder="1" applyAlignment="1">
      <alignment vertical="center"/>
    </xf>
    <xf numFmtId="167" fontId="9" fillId="0" borderId="8" xfId="0" applyNumberFormat="1" applyFont="1" applyBorder="1" applyAlignment="1">
      <alignment horizontal="right"/>
    </xf>
    <xf numFmtId="0" fontId="7" fillId="7" borderId="15" xfId="0" applyFont="1" applyFill="1" applyBorder="1" applyAlignment="1">
      <alignment horizontal="center"/>
    </xf>
    <xf numFmtId="0" fontId="9" fillId="2" borderId="10" xfId="2" applyFont="1" applyBorder="1" applyAlignment="1" applyProtection="1">
      <alignment horizontal="right" vertical="center"/>
      <protection locked="0"/>
    </xf>
    <xf numFmtId="166" fontId="9" fillId="0" borderId="12" xfId="0" applyNumberFormat="1" applyFont="1" applyBorder="1" applyProtection="1">
      <protection locked="0"/>
    </xf>
    <xf numFmtId="0" fontId="7" fillId="6" borderId="12" xfId="0" applyFont="1" applyFill="1" applyBorder="1" applyAlignment="1">
      <alignment horizontal="center"/>
    </xf>
    <xf numFmtId="0" fontId="7" fillId="0" borderId="12" xfId="0" applyFont="1" applyBorder="1" applyProtection="1">
      <protection locked="0"/>
    </xf>
    <xf numFmtId="0" fontId="1" fillId="0" borderId="0" xfId="2" applyFill="1" applyBorder="1" applyProtection="1">
      <protection locked="0"/>
    </xf>
    <xf numFmtId="167" fontId="9" fillId="0" borderId="11" xfId="0" applyNumberFormat="1" applyFont="1" applyBorder="1" applyProtection="1">
      <protection locked="0"/>
    </xf>
    <xf numFmtId="167" fontId="9" fillId="0" borderId="8" xfId="0" applyNumberFormat="1" applyFont="1" applyBorder="1" applyProtection="1">
      <protection locked="0"/>
    </xf>
    <xf numFmtId="167" fontId="9" fillId="0" borderId="14" xfId="0" applyNumberFormat="1" applyFont="1" applyBorder="1" applyAlignment="1">
      <alignment horizontal="right"/>
    </xf>
    <xf numFmtId="0" fontId="9" fillId="0" borderId="0" xfId="2" applyFont="1" applyFill="1" applyBorder="1" applyAlignment="1" applyProtection="1">
      <alignment horizontal="right" vertical="center"/>
      <protection locked="0"/>
    </xf>
    <xf numFmtId="168" fontId="9" fillId="0" borderId="13" xfId="0" applyNumberFormat="1" applyFont="1" applyBorder="1" applyProtection="1">
      <protection locked="0"/>
    </xf>
    <xf numFmtId="0" fontId="9" fillId="0" borderId="6" xfId="0" applyFont="1" applyBorder="1" applyAlignment="1">
      <alignment horizontal="left"/>
    </xf>
    <xf numFmtId="0" fontId="2" fillId="3" borderId="0" xfId="0" applyFont="1" applyFill="1" applyAlignment="1">
      <alignment horizontal="center" vertical="center"/>
    </xf>
    <xf numFmtId="0" fontId="2" fillId="4" borderId="0" xfId="0" applyFont="1" applyFill="1" applyAlignment="1">
      <alignment horizontal="center" vertical="center"/>
    </xf>
    <xf numFmtId="0" fontId="2" fillId="10" borderId="0" xfId="0" applyFont="1" applyFill="1" applyAlignment="1" applyProtection="1">
      <alignment horizontal="center"/>
      <protection locked="0"/>
    </xf>
    <xf numFmtId="0" fontId="13" fillId="13" borderId="3" xfId="0" applyFont="1" applyFill="1" applyBorder="1" applyAlignment="1">
      <alignment horizontal="center"/>
    </xf>
    <xf numFmtId="0" fontId="13" fillId="13" borderId="5" xfId="0" applyFont="1" applyFill="1" applyBorder="1" applyAlignment="1">
      <alignment horizontal="center"/>
    </xf>
    <xf numFmtId="0" fontId="13" fillId="10" borderId="1" xfId="0" applyFont="1" applyFill="1" applyBorder="1" applyAlignment="1">
      <alignment horizontal="center"/>
    </xf>
    <xf numFmtId="0" fontId="13" fillId="13" borderId="9" xfId="0" applyFont="1" applyFill="1" applyBorder="1" applyAlignment="1">
      <alignment horizontal="center"/>
    </xf>
    <xf numFmtId="0" fontId="13" fillId="13" borderId="11" xfId="0" applyFont="1" applyFill="1" applyBorder="1" applyAlignment="1">
      <alignment horizontal="center"/>
    </xf>
    <xf numFmtId="0" fontId="13" fillId="13" borderId="0" xfId="0" applyFont="1" applyFill="1" applyAlignment="1">
      <alignment horizontal="center" vertical="center"/>
    </xf>
    <xf numFmtId="0" fontId="13" fillId="13" borderId="1" xfId="0" applyFont="1" applyFill="1" applyBorder="1" applyAlignment="1">
      <alignment horizontal="center" vertical="center"/>
    </xf>
    <xf numFmtId="0" fontId="13" fillId="0" borderId="0" xfId="0" applyFont="1" applyAlignment="1">
      <alignment horizontal="center"/>
    </xf>
    <xf numFmtId="0" fontId="7" fillId="5" borderId="4" xfId="0" applyFont="1" applyFill="1" applyBorder="1" applyAlignment="1">
      <alignment horizontal="center" vertical="center"/>
    </xf>
    <xf numFmtId="0" fontId="32" fillId="13" borderId="2" xfId="0" applyFont="1" applyFill="1" applyBorder="1" applyAlignment="1">
      <alignment horizontal="center" vertical="center" wrapText="1"/>
    </xf>
    <xf numFmtId="0" fontId="32" fillId="13" borderId="0" xfId="0" applyFont="1" applyFill="1" applyAlignment="1">
      <alignment horizontal="center" vertical="center" wrapText="1"/>
    </xf>
    <xf numFmtId="0" fontId="27" fillId="0" borderId="2" xfId="0" applyFont="1" applyBorder="1" applyAlignment="1">
      <alignment horizontal="center"/>
    </xf>
    <xf numFmtId="0" fontId="27" fillId="0" borderId="0" xfId="0" applyFont="1" applyAlignment="1">
      <alignment horizontal="center"/>
    </xf>
    <xf numFmtId="0" fontId="11" fillId="0" borderId="9" xfId="0" applyFont="1" applyBorder="1" applyAlignment="1">
      <alignment horizontal="center" wrapText="1"/>
    </xf>
    <xf numFmtId="0" fontId="11" fillId="0" borderId="10" xfId="0" applyFont="1" applyBorder="1" applyAlignment="1">
      <alignment horizontal="center" wrapText="1"/>
    </xf>
    <xf numFmtId="0" fontId="11" fillId="0" borderId="11" xfId="0" applyFont="1" applyBorder="1" applyAlignment="1">
      <alignment horizontal="center" wrapText="1"/>
    </xf>
    <xf numFmtId="0" fontId="13" fillId="7" borderId="2" xfId="0" applyFont="1" applyFill="1" applyBorder="1" applyAlignment="1">
      <alignment horizontal="center" vertical="center"/>
    </xf>
    <xf numFmtId="0" fontId="13" fillId="7" borderId="0" xfId="0" applyFont="1" applyFill="1" applyAlignment="1">
      <alignment horizontal="center" vertical="center"/>
    </xf>
    <xf numFmtId="0" fontId="7" fillId="10" borderId="3" xfId="0" applyFont="1" applyFill="1" applyBorder="1" applyAlignment="1">
      <alignment horizontal="center"/>
    </xf>
    <xf numFmtId="0" fontId="7" fillId="10" borderId="4" xfId="0" applyFont="1" applyFill="1" applyBorder="1" applyAlignment="1">
      <alignment horizontal="center"/>
    </xf>
    <xf numFmtId="0" fontId="7" fillId="10" borderId="5" xfId="0" applyFont="1" applyFill="1" applyBorder="1" applyAlignment="1">
      <alignment horizontal="center"/>
    </xf>
    <xf numFmtId="0" fontId="7" fillId="11" borderId="3" xfId="0" applyFont="1" applyFill="1" applyBorder="1" applyAlignment="1">
      <alignment horizontal="center"/>
    </xf>
    <xf numFmtId="0" fontId="7" fillId="11" borderId="4" xfId="0" applyFont="1" applyFill="1" applyBorder="1" applyAlignment="1">
      <alignment horizontal="center"/>
    </xf>
    <xf numFmtId="0" fontId="7" fillId="11" borderId="5" xfId="0" applyFont="1" applyFill="1" applyBorder="1" applyAlignment="1">
      <alignment horizontal="center"/>
    </xf>
    <xf numFmtId="0" fontId="7" fillId="10" borderId="9" xfId="0" applyFont="1" applyFill="1" applyBorder="1" applyAlignment="1">
      <alignment horizontal="center"/>
    </xf>
    <xf numFmtId="0" fontId="7" fillId="10" borderId="10" xfId="0" applyFont="1" applyFill="1" applyBorder="1" applyAlignment="1">
      <alignment horizontal="center"/>
    </xf>
    <xf numFmtId="0" fontId="7" fillId="10" borderId="11" xfId="0" applyFont="1" applyFill="1" applyBorder="1" applyAlignment="1">
      <alignment horizontal="center"/>
    </xf>
    <xf numFmtId="0" fontId="7" fillId="10" borderId="6" xfId="0" applyFont="1" applyFill="1" applyBorder="1" applyAlignment="1">
      <alignment horizontal="center"/>
    </xf>
    <xf numFmtId="0" fontId="7" fillId="10" borderId="1" xfId="0" applyFont="1" applyFill="1" applyBorder="1" applyAlignment="1">
      <alignment horizontal="center"/>
    </xf>
    <xf numFmtId="0" fontId="7" fillId="10" borderId="7" xfId="0" applyFont="1" applyFill="1" applyBorder="1" applyAlignment="1">
      <alignment horizontal="center"/>
    </xf>
    <xf numFmtId="0" fontId="28" fillId="0" borderId="0" xfId="0" applyFont="1" applyAlignment="1">
      <alignment horizontal="center"/>
    </xf>
    <xf numFmtId="0" fontId="29" fillId="0" borderId="0" xfId="0" applyFont="1" applyAlignment="1">
      <alignment horizontal="center"/>
    </xf>
    <xf numFmtId="0" fontId="29" fillId="0" borderId="8" xfId="0" applyFont="1" applyBorder="1" applyAlignment="1">
      <alignment horizontal="center"/>
    </xf>
    <xf numFmtId="0" fontId="7" fillId="6" borderId="4" xfId="0" applyFont="1" applyFill="1" applyBorder="1" applyAlignment="1">
      <alignment horizontal="center" vertical="center"/>
    </xf>
    <xf numFmtId="0" fontId="7" fillId="7" borderId="3" xfId="0" applyFont="1" applyFill="1" applyBorder="1" applyAlignment="1">
      <alignment horizontal="center"/>
    </xf>
    <xf numFmtId="0" fontId="7" fillId="7" borderId="4" xfId="0" applyFont="1" applyFill="1" applyBorder="1" applyAlignment="1">
      <alignment horizontal="center"/>
    </xf>
    <xf numFmtId="0" fontId="7" fillId="7" borderId="5" xfId="0" applyFont="1" applyFill="1" applyBorder="1" applyAlignment="1">
      <alignment horizontal="center"/>
    </xf>
    <xf numFmtId="0" fontId="7" fillId="11" borderId="4" xfId="0" applyFont="1" applyFill="1" applyBorder="1" applyAlignment="1">
      <alignment horizontal="center" vertical="center"/>
    </xf>
    <xf numFmtId="0" fontId="26" fillId="12" borderId="10" xfId="0" applyFont="1" applyFill="1" applyBorder="1" applyAlignment="1">
      <alignment horizontal="center" vertical="center" wrapText="1"/>
    </xf>
    <xf numFmtId="0" fontId="26" fillId="12"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6" fillId="12" borderId="8" xfId="0" applyFont="1" applyFill="1" applyBorder="1" applyAlignment="1">
      <alignment horizontal="center" vertical="center" wrapText="1"/>
    </xf>
    <xf numFmtId="0" fontId="26" fillId="12" borderId="1" xfId="0" applyFont="1" applyFill="1" applyBorder="1" applyAlignment="1">
      <alignment horizontal="center" vertical="center" wrapText="1"/>
    </xf>
    <xf numFmtId="0" fontId="26" fillId="12" borderId="7" xfId="0" applyFont="1" applyFill="1" applyBorder="1" applyAlignment="1">
      <alignment horizontal="center" vertical="center" wrapText="1"/>
    </xf>
    <xf numFmtId="0" fontId="7" fillId="10" borderId="12"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4" xfId="0" applyFont="1" applyFill="1" applyBorder="1" applyAlignment="1" applyProtection="1">
      <alignment horizontal="center" vertical="center"/>
      <protection locked="0"/>
    </xf>
    <xf numFmtId="0" fontId="0" fillId="10" borderId="0" xfId="0" applyFill="1" applyAlignment="1">
      <alignment horizontal="center"/>
    </xf>
    <xf numFmtId="0" fontId="0" fillId="0" borderId="0" xfId="0" applyAlignment="1">
      <alignment horizontal="center"/>
    </xf>
    <xf numFmtId="0" fontId="2" fillId="10" borderId="0" xfId="0" applyFont="1" applyFill="1" applyAlignment="1">
      <alignment horizontal="center"/>
    </xf>
  </cellXfs>
  <cellStyles count="4">
    <cellStyle name="20 % - Accent2" xfId="2" builtinId="34"/>
    <cellStyle name="Lien hypertexte" xfId="3" builtinId="8"/>
    <cellStyle name="Milliers" xfId="1" builtinId="3"/>
    <cellStyle name="Normal" xfId="0" builtinId="0"/>
  </cellStyles>
  <dxfs count="16">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7" Type="http://schemas.openxmlformats.org/officeDocument/2006/relationships/hyperlink" Target="https://tourismedurable.quebec/outil-bilan-ges-tourisme/"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tourismedurable.quebec/lexique/" TargetMode="External"/><Relationship Id="rId5" Type="http://schemas.openxmlformats.org/officeDocument/2006/relationships/hyperlink" Target="https://tourismedurable.quebec/un-outil-essentiel-pour-reussir-sa-transition-durable-parcours-durable/" TargetMode="External"/><Relationship Id="rId4" Type="http://schemas.openxmlformats.org/officeDocument/2006/relationships/image" Target="../media/image4.gif"/></Relationships>
</file>

<file path=xl/drawings/drawing1.xml><?xml version="1.0" encoding="utf-8"?>
<xdr:wsDr xmlns:xdr="http://schemas.openxmlformats.org/drawingml/2006/spreadsheetDrawing" xmlns:a="http://schemas.openxmlformats.org/drawingml/2006/main">
  <xdr:twoCellAnchor>
    <xdr:from>
      <xdr:col>0</xdr:col>
      <xdr:colOff>11432</xdr:colOff>
      <xdr:row>0</xdr:row>
      <xdr:rowOff>20955</xdr:rowOff>
    </xdr:from>
    <xdr:to>
      <xdr:col>8</xdr:col>
      <xdr:colOff>297234</xdr:colOff>
      <xdr:row>28</xdr:row>
      <xdr:rowOff>135106</xdr:rowOff>
    </xdr:to>
    <xdr:sp macro="" textlink="">
      <xdr:nvSpPr>
        <xdr:cNvPr id="2" name="ZoneTexte 1">
          <a:extLst>
            <a:ext uri="{FF2B5EF4-FFF2-40B4-BE49-F238E27FC236}">
              <a16:creationId xmlns:a16="http://schemas.microsoft.com/office/drawing/2014/main" id="{2EAD6886-AC3D-C746-A1F5-922A02E8906E}"/>
            </a:ext>
          </a:extLst>
        </xdr:cNvPr>
        <xdr:cNvSpPr txBox="1"/>
      </xdr:nvSpPr>
      <xdr:spPr>
        <a:xfrm>
          <a:off x="11432" y="20955"/>
          <a:ext cx="10141002" cy="5803751"/>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a:solidFill>
                <a:schemeClr val="dk1"/>
              </a:solidFill>
              <a:effectLst/>
              <a:latin typeface="+mn-lt"/>
              <a:ea typeface="+mn-ea"/>
              <a:cs typeface="+mn-cs"/>
            </a:rPr>
            <a:t>Introduction à l'outil "Bilan carbone"</a:t>
          </a:r>
          <a:r>
            <a:rPr lang="fr-CA" sz="1100" b="1" baseline="0">
              <a:solidFill>
                <a:schemeClr val="dk1"/>
              </a:solidFill>
              <a:effectLst/>
              <a:latin typeface="+mn-lt"/>
              <a:ea typeface="+mn-ea"/>
              <a:cs typeface="+mn-cs"/>
            </a:rPr>
            <a:t> , secteur touristique " RESTAURATION "</a:t>
          </a:r>
          <a:endParaRPr lang="fr-CA">
            <a:effectLst/>
          </a:endParaRPr>
        </a:p>
        <a:p>
          <a:r>
            <a:rPr lang="fr-CA" sz="1100">
              <a:solidFill>
                <a:schemeClr val="dk1"/>
              </a:solidFill>
              <a:effectLst/>
              <a:latin typeface="+mn-lt"/>
              <a:ea typeface="+mn-ea"/>
              <a:cs typeface="+mn-cs"/>
            </a:rPr>
            <a:t>Cet outil  gratuit a été créé par la Chaire en éco-conseil/UQAC avec une contribution  financière de Tourisme durable Québec, d'Aventure Écotourisme Québec et de PAR Conseils dans le but de faire des bilans simplifiés et uniformisés des émissions de gaz à effet de serre (GES). Le programme vert " SHIPEKU" de TAQ (Tourisme Autochtone Québec) a servi d'inspiration et de projet pilote à cet outil. Vous pourrez évaluer les émissions de gaz à effet de serre de la portée 1, 2 et 3, soient les GES directement émis par l'organisation, les émissions de GES indirectement émises par l'utilisation de l’énergie électrique et les émissions de GES indirectement émises par les activités qui sont associées à l'organisation en amont et en aval. </a:t>
          </a:r>
          <a:endParaRPr lang="fr-CA">
            <a:effectLst/>
          </a:endParaRPr>
        </a:p>
        <a:p>
          <a:r>
            <a:rPr lang="fr-CA" sz="1100">
              <a:solidFill>
                <a:schemeClr val="dk1"/>
              </a:solidFill>
              <a:effectLst/>
              <a:latin typeface="+mn-lt"/>
              <a:ea typeface="+mn-ea"/>
              <a:cs typeface="+mn-cs"/>
            </a:rPr>
            <a:t>Les méthodologies de calcul suivent les bonnes pratiques en termes de bilan GES du « </a:t>
          </a:r>
          <a:r>
            <a:rPr lang="fr-CA" sz="1100" i="1">
              <a:solidFill>
                <a:schemeClr val="dk1"/>
              </a:solidFill>
              <a:effectLst/>
              <a:latin typeface="+mn-lt"/>
              <a:ea typeface="+mn-ea"/>
              <a:cs typeface="+mn-cs"/>
            </a:rPr>
            <a:t>Guide de quantification des émissions de gaz à effet de serre</a:t>
          </a:r>
          <a:r>
            <a:rPr lang="fr-CA" sz="1100">
              <a:solidFill>
                <a:schemeClr val="dk1"/>
              </a:solidFill>
              <a:effectLst/>
              <a:latin typeface="+mn-lt"/>
              <a:ea typeface="+mn-ea"/>
              <a:cs typeface="+mn-cs"/>
            </a:rPr>
            <a:t> » du Québec qui s'appuie sur la méthodologie du groupe d'experts intergouvernemental sur l'évolution du climat (GIEC) et sur ADEME (France). Les facteurs d'émission de GES proviennent de sources fiables et sont adaptés au contexte québécois. Les facteurs se situent dans l'onglet « Références ». L'entrée des données se fait dans l'onglet « Calculateur » à la colonne B. Vous devez également insérer des données dans les colonnes C et D dans la section « Déplacements » et J-K-L  (déplacements</a:t>
          </a:r>
          <a:r>
            <a:rPr lang="fr-CA" sz="1100" baseline="0">
              <a:solidFill>
                <a:schemeClr val="dk1"/>
              </a:solidFill>
              <a:effectLst/>
              <a:latin typeface="+mn-lt"/>
              <a:ea typeface="+mn-ea"/>
              <a:cs typeface="+mn-cs"/>
            </a:rPr>
            <a:t> clients et employés-domicile)</a:t>
          </a:r>
          <a:r>
            <a:rPr lang="fr-CA" sz="1100">
              <a:solidFill>
                <a:schemeClr val="dk1"/>
              </a:solidFill>
              <a:effectLst/>
              <a:latin typeface="+mn-lt"/>
              <a:ea typeface="+mn-ea"/>
              <a:cs typeface="+mn-cs"/>
            </a:rPr>
            <a:t>. Les cases titres avec un coin violet comportent des explications supplémentaires et il y a des menus déroulants (petite flèche vers le bas quand on clique sur la case) pour le choix des réfrigérants et des véhicules. Les calculs sont automatisés et un résumé des résultats s'affiche dans la colone K. </a:t>
          </a:r>
        </a:p>
        <a:p>
          <a:endParaRPr lang="fr-CA">
            <a:effectLst/>
          </a:endParaRPr>
        </a:p>
        <a:p>
          <a:r>
            <a:rPr lang="fr-CA" sz="1100" b="1">
              <a:solidFill>
                <a:schemeClr val="dk1"/>
              </a:solidFill>
              <a:effectLst/>
              <a:latin typeface="+mn-lt"/>
              <a:ea typeface="+mn-ea"/>
              <a:cs typeface="+mn-cs"/>
            </a:rPr>
            <a:t>Un manuel</a:t>
          </a:r>
          <a:r>
            <a:rPr lang="fr-CA" sz="1100" b="1" baseline="0">
              <a:solidFill>
                <a:schemeClr val="dk1"/>
              </a:solidFill>
              <a:effectLst/>
              <a:latin typeface="+mn-lt"/>
              <a:ea typeface="+mn-ea"/>
              <a:cs typeface="+mn-cs"/>
            </a:rPr>
            <a:t> d'utilisation </a:t>
          </a:r>
          <a:r>
            <a:rPr lang="fr-CA" sz="1100" baseline="0">
              <a:solidFill>
                <a:schemeClr val="dk1"/>
              </a:solidFill>
              <a:effectLst/>
              <a:latin typeface="+mn-lt"/>
              <a:ea typeface="+mn-ea"/>
              <a:cs typeface="+mn-cs"/>
            </a:rPr>
            <a:t>pour cet outil  est disponible. </a:t>
          </a:r>
          <a:r>
            <a:rPr lang="fr-CA" sz="1100">
              <a:solidFill>
                <a:schemeClr val="dk1"/>
              </a:solidFill>
              <a:effectLst/>
              <a:latin typeface="+mn-lt"/>
              <a:ea typeface="+mn-ea"/>
              <a:cs typeface="+mn-cs"/>
            </a:rPr>
            <a:t>Un tutoriel/vidéo ainsi qu'une version " application Web" sont à venir.  Avant de compenser financièrement votre empreinte carbone (ce qui sera  nécessaire et souhaitable au final), penser  - comme actions prioritaires - aux 5Rs: </a:t>
          </a:r>
          <a:r>
            <a:rPr lang="fr-CA" sz="1100" b="0">
              <a:solidFill>
                <a:schemeClr val="dk1"/>
              </a:solidFill>
              <a:effectLst/>
              <a:latin typeface="+mn-lt"/>
              <a:ea typeface="+mn-ea"/>
              <a:cs typeface="+mn-cs"/>
            </a:rPr>
            <a:t>Refuser, Réduire, Remplacer, Réutiliser et Recycler </a:t>
          </a:r>
          <a:r>
            <a:rPr lang="fr-CA" sz="1100">
              <a:solidFill>
                <a:schemeClr val="dk1"/>
              </a:solidFill>
              <a:effectLst/>
              <a:latin typeface="+mn-lt"/>
              <a:ea typeface="+mn-ea"/>
              <a:cs typeface="+mn-cs"/>
            </a:rPr>
            <a:t>dans la gestion quotidienne de votre organisation. Le Bilan carbone s'inscrit dans l'étape 3 du document "</a:t>
          </a:r>
          <a:r>
            <a:rPr lang="fr-CA" sz="1100" b="1" u="sng">
              <a:solidFill>
                <a:schemeClr val="dk1"/>
              </a:solidFill>
              <a:effectLst/>
              <a:latin typeface="+mn-lt"/>
              <a:ea typeface="+mn-ea"/>
              <a:cs typeface="+mn-cs"/>
            </a:rPr>
            <a:t>Les 7 étapes d’une transition durable optimale en tourisme</a:t>
          </a:r>
          <a:r>
            <a:rPr lang="fr-CA" sz="1100" b="1">
              <a:solidFill>
                <a:schemeClr val="dk1"/>
              </a:solidFill>
              <a:effectLst/>
              <a:latin typeface="+mn-lt"/>
              <a:ea typeface="+mn-ea"/>
              <a:cs typeface="+mn-cs"/>
            </a:rPr>
            <a:t> </a:t>
          </a:r>
          <a:r>
            <a:rPr lang="fr-CA" sz="1100">
              <a:solidFill>
                <a:schemeClr val="dk1"/>
              </a:solidFill>
              <a:effectLst/>
              <a:latin typeface="+mn-lt"/>
              <a:ea typeface="+mn-ea"/>
              <a:cs typeface="+mn-cs"/>
            </a:rPr>
            <a:t>"  produit par Tourisme durable Québec.Un outil  bilan carbone spécifique au secteur " </a:t>
          </a:r>
          <a:r>
            <a:rPr lang="fr-CA" sz="1100" b="1">
              <a:solidFill>
                <a:schemeClr val="dk1"/>
              </a:solidFill>
              <a:effectLst/>
              <a:latin typeface="+mn-lt"/>
              <a:ea typeface="+mn-ea"/>
              <a:cs typeface="+mn-cs"/>
            </a:rPr>
            <a:t>Plein</a:t>
          </a:r>
          <a:r>
            <a:rPr lang="fr-CA" sz="1100" b="1" baseline="0">
              <a:solidFill>
                <a:schemeClr val="dk1"/>
              </a:solidFill>
              <a:effectLst/>
              <a:latin typeface="+mn-lt"/>
              <a:ea typeface="+mn-ea"/>
              <a:cs typeface="+mn-cs"/>
            </a:rPr>
            <a:t> air</a:t>
          </a:r>
          <a:r>
            <a:rPr lang="fr-CA" sz="1100" baseline="0">
              <a:solidFill>
                <a:schemeClr val="dk1"/>
              </a:solidFill>
              <a:effectLst/>
              <a:latin typeface="+mn-lt"/>
              <a:ea typeface="+mn-ea"/>
              <a:cs typeface="+mn-cs"/>
            </a:rPr>
            <a:t> </a:t>
          </a:r>
          <a:r>
            <a:rPr lang="fr-CA" sz="1100">
              <a:solidFill>
                <a:schemeClr val="dk1"/>
              </a:solidFill>
              <a:effectLst/>
              <a:latin typeface="+mn-lt"/>
              <a:ea typeface="+mn-ea"/>
              <a:cs typeface="+mn-cs"/>
            </a:rPr>
            <a:t>" et un  </a:t>
          </a:r>
          <a:r>
            <a:rPr lang="fr-CA" sz="1100" b="1">
              <a:solidFill>
                <a:schemeClr val="dk1"/>
              </a:solidFill>
              <a:effectLst/>
              <a:latin typeface="+mn-lt"/>
              <a:ea typeface="+mn-ea"/>
              <a:cs typeface="+mn-cs"/>
            </a:rPr>
            <a:t>" Général</a:t>
          </a:r>
          <a:r>
            <a:rPr lang="fr-CA" sz="1100" b="1" baseline="0">
              <a:solidFill>
                <a:schemeClr val="dk1"/>
              </a:solidFill>
              <a:effectLst/>
              <a:latin typeface="+mn-lt"/>
              <a:ea typeface="+mn-ea"/>
              <a:cs typeface="+mn-cs"/>
            </a:rPr>
            <a:t> </a:t>
          </a:r>
          <a:r>
            <a:rPr lang="fr-CA" sz="1100" b="1">
              <a:solidFill>
                <a:schemeClr val="dk1"/>
              </a:solidFill>
              <a:effectLst/>
              <a:latin typeface="+mn-lt"/>
              <a:ea typeface="+mn-ea"/>
              <a:cs typeface="+mn-cs"/>
            </a:rPr>
            <a:t>"  </a:t>
          </a:r>
          <a:r>
            <a:rPr lang="fr-CA" sz="1100">
              <a:solidFill>
                <a:schemeClr val="dk1"/>
              </a:solidFill>
              <a:effectLst/>
              <a:latin typeface="+mn-lt"/>
              <a:ea typeface="+mn-ea"/>
              <a:cs typeface="+mn-cs"/>
            </a:rPr>
            <a:t>sont également disponibles.					</a:t>
          </a:r>
          <a:r>
            <a:rPr lang="fr-CA" sz="1100" b="1">
              <a:solidFill>
                <a:schemeClr val="dk1"/>
              </a:solidFill>
              <a:effectLst/>
              <a:latin typeface="+mn-lt"/>
              <a:ea typeface="+mn-ea"/>
              <a:cs typeface="+mn-cs"/>
            </a:rPr>
            <a:t> </a:t>
          </a:r>
        </a:p>
        <a:p>
          <a:r>
            <a:rPr lang="en-CA" sz="1100" b="0" i="0" u="none" strike="noStrike">
              <a:solidFill>
                <a:schemeClr val="dk1"/>
              </a:solidFill>
              <a:effectLst/>
              <a:latin typeface="+mn-lt"/>
              <a:ea typeface="+mn-ea"/>
              <a:cs typeface="+mn-cs"/>
            </a:rPr>
            <a:t>Version test V-03 avril 2023</a:t>
          </a:r>
          <a:endParaRPr lang="fr-CA" sz="1100" b="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100"/>
        </a:p>
      </xdr:txBody>
    </xdr:sp>
    <xdr:clientData/>
  </xdr:twoCellAnchor>
  <xdr:twoCellAnchor>
    <xdr:from>
      <xdr:col>0</xdr:col>
      <xdr:colOff>15242</xdr:colOff>
      <xdr:row>0</xdr:row>
      <xdr:rowOff>17144</xdr:rowOff>
    </xdr:from>
    <xdr:to>
      <xdr:col>24</xdr:col>
      <xdr:colOff>368787</xdr:colOff>
      <xdr:row>73</xdr:row>
      <xdr:rowOff>159300</xdr:rowOff>
    </xdr:to>
    <xdr:sp macro="" textlink="">
      <xdr:nvSpPr>
        <xdr:cNvPr id="3" name="ZoneTexte 1">
          <a:extLst>
            <a:ext uri="{FF2B5EF4-FFF2-40B4-BE49-F238E27FC236}">
              <a16:creationId xmlns:a16="http://schemas.microsoft.com/office/drawing/2014/main" id="{B9E5E1A5-5098-3545-8E10-CFA3B369E90D}"/>
            </a:ext>
          </a:extLst>
        </xdr:cNvPr>
        <xdr:cNvSpPr txBox="1"/>
      </xdr:nvSpPr>
      <xdr:spPr>
        <a:xfrm>
          <a:off x="15242" y="17144"/>
          <a:ext cx="23416745" cy="1497575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600" b="1">
              <a:solidFill>
                <a:schemeClr val="accent1">
                  <a:lumMod val="50000"/>
                </a:schemeClr>
              </a:solidFill>
              <a:effectLst/>
              <a:latin typeface="+mn-lt"/>
              <a:ea typeface="+mn-ea"/>
              <a:cs typeface="+mn-cs"/>
            </a:rPr>
            <a:t>Introduction à l'outil "Bilan GES Tourisme" pour les organisations touristiques québécoises </a:t>
          </a:r>
        </a:p>
        <a:p>
          <a:endParaRPr lang="fr-CA" sz="1600">
            <a:effectLst/>
            <a:latin typeface="+mn-lt"/>
          </a:endParaRPr>
        </a:p>
        <a:p>
          <a:r>
            <a:rPr lang="fr-CA" sz="1600">
              <a:solidFill>
                <a:schemeClr val="dk1"/>
              </a:solidFill>
              <a:effectLst/>
              <a:latin typeface="+mn-lt"/>
              <a:ea typeface="+mn-ea"/>
              <a:cs typeface="+mn-cs"/>
            </a:rPr>
            <a:t>Cet outil vous est offert gratuitement par Tourisme durable Québec (TDQ) en collaboration avec Aventure écotourisme Québec (AEQ) et Par Conseils. Il a été créé par la Chaire en éco-conseil/UQAC dans le but de faire des bilans simplifiés et uniformisés des émissions de gaz à effet de serre (GES) pour les entreprises touristiques. Le programme " SHIPEKU" de Tourisme Autochtone Québec (TAQ) a servi d'inspiration et de projet pilote à cet outil. Une cohorte d'entreprises d'AEQ a aussi participé au projet pilote afin de tester l'outil. </a:t>
          </a:r>
        </a:p>
        <a:p>
          <a:r>
            <a:rPr lang="fr-CA" sz="1600">
              <a:solidFill>
                <a:schemeClr val="dk1"/>
              </a:solidFill>
              <a:effectLst/>
              <a:latin typeface="+mn-lt"/>
              <a:ea typeface="+mn-ea"/>
              <a:cs typeface="+mn-cs"/>
            </a:rPr>
            <a:t> </a:t>
          </a:r>
        </a:p>
        <a:p>
          <a:r>
            <a:rPr lang="fr-CA" sz="1600">
              <a:solidFill>
                <a:schemeClr val="dk1"/>
              </a:solidFill>
              <a:effectLst/>
              <a:latin typeface="+mn-lt"/>
              <a:ea typeface="+mn-ea"/>
              <a:cs typeface="+mn-cs"/>
            </a:rPr>
            <a:t>Les </a:t>
          </a:r>
          <a:r>
            <a:rPr lang="fr-CA" sz="1600" b="1">
              <a:solidFill>
                <a:schemeClr val="dk1"/>
              </a:solidFill>
              <a:effectLst/>
              <a:latin typeface="+mn-lt"/>
              <a:ea typeface="+mn-ea"/>
              <a:cs typeface="+mn-cs"/>
            </a:rPr>
            <a:t>méthodologies de calcul </a:t>
          </a:r>
          <a:r>
            <a:rPr lang="fr-CA" sz="1600">
              <a:solidFill>
                <a:schemeClr val="dk1"/>
              </a:solidFill>
              <a:effectLst/>
              <a:latin typeface="+mn-lt"/>
              <a:ea typeface="+mn-ea"/>
              <a:cs typeface="+mn-cs"/>
            </a:rPr>
            <a:t>suivent les bonnes pratiques en termes de bilan GES du « </a:t>
          </a:r>
          <a:r>
            <a:rPr lang="fr-CA" sz="1600" i="1">
              <a:solidFill>
                <a:schemeClr val="dk1"/>
              </a:solidFill>
              <a:effectLst/>
              <a:latin typeface="+mn-lt"/>
              <a:ea typeface="+mn-ea"/>
              <a:cs typeface="+mn-cs"/>
            </a:rPr>
            <a:t>Guide de quantification des émissions de gaz à effet de serre</a:t>
          </a:r>
          <a:r>
            <a:rPr lang="fr-CA" sz="1600">
              <a:solidFill>
                <a:schemeClr val="dk1"/>
              </a:solidFill>
              <a:effectLst/>
              <a:latin typeface="+mn-lt"/>
              <a:ea typeface="+mn-ea"/>
              <a:cs typeface="+mn-cs"/>
            </a:rPr>
            <a:t> » du Québec qui s'appuie sur la méthodologie du groupe d'experts intergouvernemental sur l'évolution du climat (GIEC) et sur ADEME (France). Avec ce calculateur, crée selon la norme ISO 14064-1, les entreprises pourront évaluer les émissions de gaz à effet de serre des portées 1, 2 et 3, qui sont respectivement les émissions de GES directement émises par l'organisation, les émissions de GES indirectement émises par l'utilisation de l’énergie électrique et les émissions de GES indirectement émises par les activités qui sont associées à l'organisation en amont et en aval. Les </a:t>
          </a:r>
          <a:r>
            <a:rPr lang="fr-CA" sz="1600" b="1">
              <a:solidFill>
                <a:schemeClr val="dk1"/>
              </a:solidFill>
              <a:effectLst/>
              <a:latin typeface="+mn-lt"/>
              <a:ea typeface="+mn-ea"/>
              <a:cs typeface="+mn-cs"/>
            </a:rPr>
            <a:t>facteurs d'émission</a:t>
          </a:r>
          <a:r>
            <a:rPr lang="fr-CA" sz="1600">
              <a:solidFill>
                <a:schemeClr val="dk1"/>
              </a:solidFill>
              <a:effectLst/>
              <a:latin typeface="+mn-lt"/>
              <a:ea typeface="+mn-ea"/>
              <a:cs typeface="+mn-cs"/>
            </a:rPr>
            <a:t> de GES proviennent de sources fiables et sont adaptés au contexte québécois. </a:t>
          </a:r>
        </a:p>
        <a:p>
          <a:pPr marL="0" marR="0" algn="just">
            <a:lnSpc>
              <a:spcPct val="107000"/>
            </a:lnSpc>
            <a:spcBef>
              <a:spcPts val="0"/>
            </a:spcBef>
            <a:spcAft>
              <a:spcPts val="800"/>
            </a:spcAft>
          </a:pPr>
          <a:endParaRPr lang="fr-CA" sz="1600" b="1">
            <a:solidFill>
              <a:schemeClr val="accent1">
                <a:lumMod val="50000"/>
              </a:schemeClr>
            </a:solidFill>
            <a:effectLst/>
            <a:latin typeface="+mn-lt"/>
            <a:ea typeface="Calibri" panose="020F0502020204030204" pitchFamily="34" charset="0"/>
            <a:cs typeface="Times New Roman" panose="02020603050405020304" pitchFamily="18" charset="0"/>
          </a:endParaRPr>
        </a:p>
        <a:p>
          <a:pPr marL="0" marR="0" algn="just">
            <a:lnSpc>
              <a:spcPct val="107000"/>
            </a:lnSpc>
            <a:spcBef>
              <a:spcPts val="0"/>
            </a:spcBef>
            <a:spcAft>
              <a:spcPts val="800"/>
            </a:spcAft>
          </a:pPr>
          <a:r>
            <a:rPr lang="fr-CA" sz="1600" b="1">
              <a:solidFill>
                <a:schemeClr val="accent1">
                  <a:lumMod val="50000"/>
                </a:schemeClr>
              </a:solidFill>
              <a:effectLst/>
              <a:latin typeface="+mn-lt"/>
              <a:ea typeface="Calibri" panose="020F0502020204030204" pitchFamily="34" charset="0"/>
              <a:cs typeface="Times New Roman" panose="02020603050405020304" pitchFamily="18" charset="0"/>
            </a:rPr>
            <a:t>Les onglets</a:t>
          </a:r>
        </a:p>
        <a:p>
          <a:pPr marL="0" marR="0" lvl="0" indent="0" algn="just" defTabSz="914400" eaLnBrk="1" fontAlgn="auto" latinLnBrk="0" hangingPunct="1">
            <a:lnSpc>
              <a:spcPct val="107000"/>
            </a:lnSpc>
            <a:spcBef>
              <a:spcPts val="0"/>
            </a:spcBef>
            <a:spcAft>
              <a:spcPts val="800"/>
            </a:spcAft>
            <a:buClrTx/>
            <a:buSzTx/>
            <a:buFontTx/>
            <a:buNone/>
            <a:tabLst/>
            <a:defRPr/>
          </a:pPr>
          <a:r>
            <a:rPr lang="fr-CA" sz="1600">
              <a:solidFill>
                <a:srgbClr val="000000"/>
              </a:solidFill>
              <a:effectLst/>
              <a:latin typeface="+mn-lt"/>
              <a:ea typeface="Calibri" panose="020F0502020204030204" pitchFamily="34" charset="0"/>
              <a:cs typeface="Times New Roman" panose="02020603050405020304" pitchFamily="18" charset="0"/>
            </a:rPr>
            <a:t>Les facteurs d'émissions se situent dans l'onglet « Références ». </a:t>
          </a:r>
          <a:r>
            <a:rPr lang="fr-CA" sz="1600">
              <a:solidFill>
                <a:schemeClr val="dk1"/>
              </a:solidFill>
              <a:effectLst/>
              <a:latin typeface="+mn-lt"/>
              <a:ea typeface="+mn-ea"/>
              <a:cs typeface="+mn-cs"/>
            </a:rPr>
            <a:t>L'entrée des données se fait dans l'onglet « Calculateur » à la colonne B. Vous devez également insérer des données dans les colonnes C et D dans la section « Déplacements » et J-K-L  (déplacements</a:t>
          </a:r>
          <a:r>
            <a:rPr lang="fr-CA" sz="1600" baseline="0">
              <a:solidFill>
                <a:schemeClr val="dk1"/>
              </a:solidFill>
              <a:effectLst/>
              <a:latin typeface="+mn-lt"/>
              <a:ea typeface="+mn-ea"/>
              <a:cs typeface="+mn-cs"/>
            </a:rPr>
            <a:t> clients et employés-domicile)</a:t>
          </a:r>
          <a:r>
            <a:rPr lang="fr-CA" sz="1600">
              <a:solidFill>
                <a:schemeClr val="dk1"/>
              </a:solidFill>
              <a:effectLst/>
              <a:latin typeface="+mn-lt"/>
              <a:ea typeface="+mn-ea"/>
              <a:cs typeface="+mn-cs"/>
            </a:rPr>
            <a:t>. Les cases titres avec un coin violet comportent des explications supplémentaires et il y a des menus déroulants (petite flèche vers le bas quand on clique sur la case) pour le choix des réfrigérants et des véhicules. Les calculs sont automatisés et un résumé des résultats s'affiche dans la colonne K. L'onglet</a:t>
          </a:r>
          <a:r>
            <a:rPr lang="fr-CA" sz="1600" baseline="0">
              <a:solidFill>
                <a:schemeClr val="dk1"/>
              </a:solidFill>
              <a:effectLst/>
              <a:latin typeface="+mn-lt"/>
              <a:ea typeface="+mn-ea"/>
              <a:cs typeface="+mn-cs"/>
            </a:rPr>
            <a:t> </a:t>
          </a:r>
          <a:r>
            <a:rPr lang="fr-CA" sz="1600">
              <a:solidFill>
                <a:schemeClr val="dk1"/>
              </a:solidFill>
              <a:effectLst/>
              <a:latin typeface="+mn-lt"/>
              <a:ea typeface="+mn-ea"/>
              <a:cs typeface="+mn-cs"/>
            </a:rPr>
            <a:t>" Général" permet à la plupart</a:t>
          </a:r>
          <a:r>
            <a:rPr lang="fr-CA" sz="1600" baseline="0">
              <a:solidFill>
                <a:schemeClr val="dk1"/>
              </a:solidFill>
              <a:effectLst/>
              <a:latin typeface="+mn-lt"/>
              <a:ea typeface="+mn-ea"/>
              <a:cs typeface="+mn-cs"/>
            </a:rPr>
            <a:t> des organisations tout secteur d'activité confondu d'effectuer leur bilan carbone, toutefois, les onglets </a:t>
          </a:r>
          <a:r>
            <a:rPr lang="fr-CA" sz="1600" b="0">
              <a:solidFill>
                <a:schemeClr val="dk1"/>
              </a:solidFill>
              <a:effectLst/>
              <a:latin typeface="+mn-lt"/>
              <a:ea typeface="+mn-ea"/>
              <a:cs typeface="+mn-cs"/>
            </a:rPr>
            <a:t>" Calculateur</a:t>
          </a:r>
          <a:r>
            <a:rPr lang="fr-CA" sz="1600" b="0" baseline="0">
              <a:solidFill>
                <a:schemeClr val="dk1"/>
              </a:solidFill>
              <a:effectLst/>
              <a:latin typeface="+mn-lt"/>
              <a:ea typeface="+mn-ea"/>
              <a:cs typeface="+mn-cs"/>
            </a:rPr>
            <a:t> p</a:t>
          </a:r>
          <a:r>
            <a:rPr lang="fr-CA" sz="1600" b="0">
              <a:solidFill>
                <a:schemeClr val="dk1"/>
              </a:solidFill>
              <a:effectLst/>
              <a:latin typeface="+mn-lt"/>
              <a:ea typeface="+mn-ea"/>
              <a:cs typeface="+mn-cs"/>
            </a:rPr>
            <a:t>lein air" et</a:t>
          </a:r>
          <a:r>
            <a:rPr lang="fr-CA" sz="1600" b="0" baseline="0">
              <a:solidFill>
                <a:schemeClr val="dk1"/>
              </a:solidFill>
              <a:effectLst/>
              <a:latin typeface="+mn-lt"/>
              <a:ea typeface="+mn-ea"/>
              <a:cs typeface="+mn-cs"/>
            </a:rPr>
            <a:t> "Calculateur restaurant</a:t>
          </a:r>
          <a:r>
            <a:rPr lang="fr-CA" sz="1600">
              <a:solidFill>
                <a:schemeClr val="dk1"/>
              </a:solidFill>
              <a:effectLst/>
              <a:latin typeface="+mn-lt"/>
              <a:ea typeface="+mn-ea"/>
              <a:cs typeface="+mn-cs"/>
            </a:rPr>
            <a:t>" sont également disponibles pour des besoins plus spécifiques.</a:t>
          </a:r>
          <a:endParaRPr lang="fr-CA" sz="16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CA" sz="1600" b="1" baseline="0">
            <a:solidFill>
              <a:schemeClr val="accent1">
                <a:lumMod val="50000"/>
              </a:schemeClr>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CA" sz="1600" b="1" baseline="0">
              <a:solidFill>
                <a:schemeClr val="accent1">
                  <a:lumMod val="50000"/>
                </a:schemeClr>
              </a:solidFill>
              <a:effectLst/>
              <a:latin typeface="+mn-lt"/>
              <a:ea typeface="+mn-ea"/>
              <a:cs typeface="+mn-cs"/>
            </a:rPr>
            <a:t>T</a:t>
          </a:r>
          <a:r>
            <a:rPr lang="fr-CA" sz="1600" b="1">
              <a:solidFill>
                <a:schemeClr val="accent1">
                  <a:lumMod val="50000"/>
                </a:schemeClr>
              </a:solidFill>
              <a:effectLst/>
              <a:latin typeface="+mn-lt"/>
              <a:ea typeface="+mn-ea"/>
              <a:cs typeface="+mn-cs"/>
            </a:rPr>
            <a:t>rousse</a:t>
          </a:r>
          <a:r>
            <a:rPr lang="fr-CA" sz="1600" b="1" baseline="0">
              <a:solidFill>
                <a:schemeClr val="accent1">
                  <a:lumMod val="50000"/>
                </a:schemeClr>
              </a:solidFill>
              <a:effectLst/>
              <a:latin typeface="+mn-lt"/>
              <a:ea typeface="+mn-ea"/>
              <a:cs typeface="+mn-cs"/>
            </a:rPr>
            <a:t> de l'Outils Bilan GES Tourisme</a:t>
          </a:r>
        </a:p>
        <a:p>
          <a:pPr marL="0" marR="0" lvl="0" indent="0" defTabSz="914400" eaLnBrk="1" fontAlgn="auto" latinLnBrk="0" hangingPunct="1">
            <a:lnSpc>
              <a:spcPct val="100000"/>
            </a:lnSpc>
            <a:spcBef>
              <a:spcPts val="0"/>
            </a:spcBef>
            <a:spcAft>
              <a:spcPts val="0"/>
            </a:spcAft>
            <a:buClrTx/>
            <a:buSzTx/>
            <a:buFontTx/>
            <a:buNone/>
            <a:tabLst/>
            <a:defRPr/>
          </a:pPr>
          <a:endParaRPr lang="fr-CA" sz="16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CA" sz="1600" b="0">
              <a:solidFill>
                <a:schemeClr val="dk1"/>
              </a:solidFill>
              <a:effectLst/>
              <a:latin typeface="+mn-lt"/>
              <a:ea typeface="+mn-ea"/>
              <a:cs typeface="+mn-cs"/>
            </a:rPr>
            <a:t>La trousse que vous avez téléchargée sur le site de Tourisme durable Québec</a:t>
          </a:r>
          <a:r>
            <a:rPr lang="fr-CA" sz="1600" b="0" baseline="0">
              <a:solidFill>
                <a:schemeClr val="dk1"/>
              </a:solidFill>
              <a:effectLst/>
              <a:latin typeface="+mn-lt"/>
              <a:ea typeface="+mn-ea"/>
              <a:cs typeface="+mn-cs"/>
            </a:rPr>
            <a:t> inclut u</a:t>
          </a:r>
          <a:r>
            <a:rPr lang="fr-CA" sz="1600" b="0">
              <a:solidFill>
                <a:schemeClr val="dk1"/>
              </a:solidFill>
              <a:effectLst/>
              <a:latin typeface="+mn-lt"/>
              <a:ea typeface="+mn-ea"/>
              <a:cs typeface="+mn-cs"/>
            </a:rPr>
            <a:t>n manuel</a:t>
          </a:r>
          <a:r>
            <a:rPr lang="fr-CA" sz="1600" b="0" baseline="0">
              <a:solidFill>
                <a:schemeClr val="dk1"/>
              </a:solidFill>
              <a:effectLst/>
              <a:latin typeface="+mn-lt"/>
              <a:ea typeface="+mn-ea"/>
              <a:cs typeface="+mn-cs"/>
            </a:rPr>
            <a:t> d'utilisation, cet outil en format Excel, ainsi que des tutoriels vidéos pour vous accompagner (liens à l'intérieur du manuel). Si vous souhaitez être avisé des prochains développements et mise à jour, assurez-vous d'avoir fourni vos coordonnées en téléchargeant la trousse au </a:t>
          </a:r>
          <a:r>
            <a:rPr lang="fr-CA" sz="1600" b="1" baseline="0">
              <a:solidFill>
                <a:schemeClr val="accent6">
                  <a:lumMod val="75000"/>
                </a:schemeClr>
              </a:solidFill>
              <a:effectLst/>
              <a:latin typeface="+mn-lt"/>
              <a:ea typeface="+mn-ea"/>
              <a:cs typeface="+mn-cs"/>
            </a:rPr>
            <a:t>https://tourismedurable.quebec/outil-bilan-ges-tourisme/</a:t>
          </a:r>
          <a:r>
            <a:rPr lang="fr-CA" sz="1600" b="1" baseline="0">
              <a:solidFill>
                <a:schemeClr val="tx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fr-CA" sz="1600" baseline="0">
              <a:solidFill>
                <a:schemeClr val="dk1"/>
              </a:solidFill>
              <a:effectLst/>
              <a:latin typeface="+mn-lt"/>
              <a:ea typeface="+mn-ea"/>
              <a:cs typeface="+mn-cs"/>
            </a:rPr>
            <a:t>Une </a:t>
          </a:r>
          <a:r>
            <a:rPr lang="fr-CA" sz="1600">
              <a:solidFill>
                <a:schemeClr val="dk1"/>
              </a:solidFill>
              <a:effectLst/>
              <a:latin typeface="+mn-lt"/>
              <a:ea typeface="+mn-ea"/>
              <a:cs typeface="+mn-cs"/>
            </a:rPr>
            <a:t>version " application Web" afin de rendre l'utilisation de l'outil plus convivial est à venir.  </a:t>
          </a:r>
        </a:p>
        <a:p>
          <a:pPr marL="0" marR="0" lvl="0" indent="0" defTabSz="914400" eaLnBrk="1" fontAlgn="auto" latinLnBrk="0" hangingPunct="1">
            <a:lnSpc>
              <a:spcPct val="100000"/>
            </a:lnSpc>
            <a:spcBef>
              <a:spcPts val="0"/>
            </a:spcBef>
            <a:spcAft>
              <a:spcPts val="0"/>
            </a:spcAft>
            <a:buClrTx/>
            <a:buSzTx/>
            <a:buFontTx/>
            <a:buNone/>
            <a:tabLst/>
            <a:defRPr/>
          </a:pPr>
          <a:endParaRPr lang="fr-CA" sz="16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fr-CA" sz="1600" b="1">
            <a:solidFill>
              <a:schemeClr val="accent1">
                <a:lumMod val="50000"/>
              </a:schemeClr>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CA" sz="1600" b="1">
              <a:solidFill>
                <a:schemeClr val="accent1">
                  <a:lumMod val="50000"/>
                </a:schemeClr>
              </a:solidFill>
              <a:effectLst/>
              <a:latin typeface="+mn-lt"/>
              <a:ea typeface="+mn-ea"/>
              <a:cs typeface="+mn-cs"/>
            </a:rPr>
            <a:t>Astuces</a:t>
          </a:r>
          <a:r>
            <a:rPr lang="fr-CA" sz="1600">
              <a:solidFill>
                <a:schemeClr val="accent1">
                  <a:lumMod val="50000"/>
                </a:schemeClr>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fr-CA" sz="16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fr-CA" sz="1600" baseline="0">
              <a:solidFill>
                <a:schemeClr val="dk1"/>
              </a:solidFill>
              <a:effectLst/>
              <a:latin typeface="+mn-lt"/>
              <a:ea typeface="+mn-ea"/>
              <a:cs typeface="+mn-cs"/>
            </a:rPr>
            <a:t>A</a:t>
          </a:r>
          <a:r>
            <a:rPr lang="fr-CA" sz="1600">
              <a:solidFill>
                <a:schemeClr val="dk1"/>
              </a:solidFill>
              <a:effectLst/>
              <a:latin typeface="+mn-lt"/>
              <a:ea typeface="+mn-ea"/>
              <a:cs typeface="+mn-cs"/>
            </a:rPr>
            <a:t>vant toute compensation carbone</a:t>
          </a:r>
          <a:r>
            <a:rPr lang="fr-CA" sz="1600" baseline="0">
              <a:solidFill>
                <a:schemeClr val="dk1"/>
              </a:solidFill>
              <a:effectLst/>
              <a:latin typeface="+mn-lt"/>
              <a:ea typeface="+mn-ea"/>
              <a:cs typeface="+mn-cs"/>
            </a:rPr>
            <a:t>, il faut s'assurer de </a:t>
          </a:r>
          <a:r>
            <a:rPr lang="fr-CA" sz="1600" b="1" baseline="0">
              <a:solidFill>
                <a:schemeClr val="dk1"/>
              </a:solidFill>
              <a:effectLst/>
              <a:latin typeface="+mn-lt"/>
              <a:ea typeface="+mn-ea"/>
              <a:cs typeface="+mn-cs"/>
            </a:rPr>
            <a:t>réduire</a:t>
          </a:r>
          <a:r>
            <a:rPr lang="fr-CA" sz="1600" baseline="0">
              <a:solidFill>
                <a:schemeClr val="dk1"/>
              </a:solidFill>
              <a:effectLst/>
              <a:latin typeface="+mn-lt"/>
              <a:ea typeface="+mn-ea"/>
              <a:cs typeface="+mn-cs"/>
            </a:rPr>
            <a:t> au maximum son empreinte carbone. </a:t>
          </a:r>
          <a:r>
            <a:rPr lang="fr-CA" sz="1600">
              <a:solidFill>
                <a:schemeClr val="dk1"/>
              </a:solidFill>
              <a:effectLst/>
              <a:latin typeface="+mn-lt"/>
              <a:ea typeface="+mn-ea"/>
              <a:cs typeface="+mn-cs"/>
            </a:rPr>
            <a:t>Les actions à prioriser</a:t>
          </a:r>
          <a:r>
            <a:rPr lang="fr-CA" sz="1600" baseline="0">
              <a:solidFill>
                <a:schemeClr val="dk1"/>
              </a:solidFill>
              <a:effectLst/>
              <a:latin typeface="+mn-lt"/>
              <a:ea typeface="+mn-ea"/>
              <a:cs typeface="+mn-cs"/>
            </a:rPr>
            <a:t> sont donc les</a:t>
          </a:r>
          <a:r>
            <a:rPr lang="fr-CA" sz="1600">
              <a:solidFill>
                <a:schemeClr val="dk1"/>
              </a:solidFill>
              <a:effectLst/>
              <a:latin typeface="+mn-lt"/>
              <a:ea typeface="+mn-ea"/>
              <a:cs typeface="+mn-cs"/>
            </a:rPr>
            <a:t> 5RVE: </a:t>
          </a:r>
          <a:r>
            <a:rPr lang="fr-CA" sz="1600" b="0">
              <a:solidFill>
                <a:schemeClr val="dk1"/>
              </a:solidFill>
              <a:effectLst/>
              <a:latin typeface="+mn-lt"/>
              <a:ea typeface="+mn-ea"/>
              <a:cs typeface="+mn-cs"/>
            </a:rPr>
            <a:t>refuser, réduire, réutiliser, réparer,</a:t>
          </a:r>
          <a:r>
            <a:rPr lang="fr-CA" sz="1600" b="0" baseline="0">
              <a:solidFill>
                <a:schemeClr val="dk1"/>
              </a:solidFill>
              <a:effectLst/>
              <a:latin typeface="+mn-lt"/>
              <a:ea typeface="+mn-ea"/>
              <a:cs typeface="+mn-cs"/>
            </a:rPr>
            <a:t> </a:t>
          </a:r>
          <a:r>
            <a:rPr lang="fr-CA" sz="1600" b="0">
              <a:solidFill>
                <a:schemeClr val="dk1"/>
              </a:solidFill>
              <a:effectLst/>
              <a:latin typeface="+mn-lt"/>
              <a:ea typeface="+mn-ea"/>
              <a:cs typeface="+mn-cs"/>
            </a:rPr>
            <a:t>recycler et valoriser </a:t>
          </a:r>
          <a:r>
            <a:rPr lang="fr-CA" sz="1600">
              <a:solidFill>
                <a:schemeClr val="dk1"/>
              </a:solidFill>
              <a:effectLst/>
              <a:latin typeface="+mn-lt"/>
              <a:ea typeface="+mn-ea"/>
              <a:cs typeface="+mn-cs"/>
            </a:rPr>
            <a:t>au niveau</a:t>
          </a:r>
          <a:r>
            <a:rPr lang="fr-CA" sz="1600" baseline="0">
              <a:solidFill>
                <a:schemeClr val="dk1"/>
              </a:solidFill>
              <a:effectLst/>
              <a:latin typeface="+mn-lt"/>
              <a:ea typeface="+mn-ea"/>
              <a:cs typeface="+mn-cs"/>
            </a:rPr>
            <a:t> de la </a:t>
          </a:r>
          <a:r>
            <a:rPr lang="fr-CA" sz="1600">
              <a:solidFill>
                <a:schemeClr val="dk1"/>
              </a:solidFill>
              <a:effectLst/>
              <a:latin typeface="+mn-lt"/>
              <a:ea typeface="+mn-ea"/>
              <a:cs typeface="+mn-cs"/>
            </a:rPr>
            <a:t>gestion quotidienne de votre organisation. Le Bilan carbone s'inscrit dans l'étape 3 (Diagnostic) du </a:t>
          </a:r>
          <a:r>
            <a:rPr lang="fr-CA" sz="1600" b="1" u="none">
              <a:solidFill>
                <a:schemeClr val="accent6">
                  <a:lumMod val="75000"/>
                </a:schemeClr>
              </a:solidFill>
              <a:effectLst/>
              <a:latin typeface="+mn-lt"/>
              <a:ea typeface="+mn-ea"/>
              <a:cs typeface="+mn-cs"/>
            </a:rPr>
            <a:t>Parcours</a:t>
          </a:r>
          <a:r>
            <a:rPr lang="fr-CA" sz="1600" b="1" u="none" baseline="0">
              <a:solidFill>
                <a:schemeClr val="accent6">
                  <a:lumMod val="75000"/>
                </a:schemeClr>
              </a:solidFill>
              <a:effectLst/>
              <a:latin typeface="+mn-lt"/>
              <a:ea typeface="+mn-ea"/>
              <a:cs typeface="+mn-cs"/>
            </a:rPr>
            <a:t> durable optimal en tourisme en 7 étapes</a:t>
          </a:r>
          <a:r>
            <a:rPr lang="fr-CA" sz="1600" b="1" u="none">
              <a:solidFill>
                <a:schemeClr val="accent6">
                  <a:lumMod val="75000"/>
                </a:schemeClr>
              </a:solidFill>
              <a:effectLst/>
              <a:latin typeface="+mn-lt"/>
              <a:ea typeface="+mn-ea"/>
              <a:cs typeface="+mn-cs"/>
            </a:rPr>
            <a:t> </a:t>
          </a:r>
          <a:r>
            <a:rPr lang="fr-CA" sz="1600">
              <a:solidFill>
                <a:schemeClr val="dk1"/>
              </a:solidFill>
              <a:effectLst/>
              <a:latin typeface="+mn-lt"/>
              <a:ea typeface="+mn-ea"/>
              <a:cs typeface="+mn-cs"/>
            </a:rPr>
            <a:t>produit par Tourisme durable Québec. </a:t>
          </a:r>
          <a:r>
            <a:rPr lang="fr-CA" sz="1600" b="0">
              <a:solidFill>
                <a:schemeClr val="dk1"/>
              </a:solidFill>
              <a:effectLst/>
              <a:latin typeface="+mn-lt"/>
              <a:ea typeface="+mn-ea"/>
              <a:cs typeface="+mn-cs"/>
            </a:rPr>
            <a:t>Pour vous </a:t>
          </a:r>
          <a:r>
            <a:rPr lang="fr-CA" sz="1600" b="1">
              <a:solidFill>
                <a:schemeClr val="dk1"/>
              </a:solidFill>
              <a:effectLst/>
              <a:latin typeface="+mn-lt"/>
              <a:ea typeface="+mn-ea"/>
              <a:cs typeface="+mn-cs"/>
            </a:rPr>
            <a:t>familiariser</a:t>
          </a:r>
          <a:r>
            <a:rPr lang="fr-CA" sz="1600" b="1" baseline="0">
              <a:solidFill>
                <a:schemeClr val="dk1"/>
              </a:solidFill>
              <a:effectLst/>
              <a:latin typeface="+mn-lt"/>
              <a:ea typeface="+mn-ea"/>
              <a:cs typeface="+mn-cs"/>
            </a:rPr>
            <a:t> avec les différentes terminologies</a:t>
          </a:r>
          <a:r>
            <a:rPr lang="fr-CA" sz="1600" b="0" baseline="0">
              <a:solidFill>
                <a:schemeClr val="dk1"/>
              </a:solidFill>
              <a:effectLst/>
              <a:latin typeface="+mn-lt"/>
              <a:ea typeface="+mn-ea"/>
              <a:cs typeface="+mn-cs"/>
            </a:rPr>
            <a:t>, voici </a:t>
          </a:r>
          <a:r>
            <a:rPr lang="fr-CA" sz="1600" b="0">
              <a:solidFill>
                <a:schemeClr val="dk1"/>
              </a:solidFill>
              <a:effectLst/>
              <a:latin typeface="+mn-lt"/>
              <a:ea typeface="+mn-ea"/>
              <a:cs typeface="+mn-cs"/>
            </a:rPr>
            <a:t>un </a:t>
          </a:r>
          <a:r>
            <a:rPr lang="fr-CA" sz="1600" b="1">
              <a:solidFill>
                <a:schemeClr val="dk1"/>
              </a:solidFill>
              <a:effectLst/>
              <a:latin typeface="+mn-lt"/>
              <a:ea typeface="+mn-ea"/>
              <a:cs typeface="+mn-cs"/>
            </a:rPr>
            <a:t>autre</a:t>
          </a:r>
          <a:r>
            <a:rPr lang="fr-CA" sz="1600" b="1" baseline="0">
              <a:solidFill>
                <a:schemeClr val="dk1"/>
              </a:solidFill>
              <a:effectLst/>
              <a:latin typeface="+mn-lt"/>
              <a:ea typeface="+mn-ea"/>
              <a:cs typeface="+mn-cs"/>
            </a:rPr>
            <a:t> </a:t>
          </a:r>
          <a:r>
            <a:rPr lang="fr-CA" sz="1600" b="1">
              <a:solidFill>
                <a:schemeClr val="dk1"/>
              </a:solidFill>
              <a:effectLst/>
              <a:latin typeface="+mn-lt"/>
              <a:ea typeface="+mn-ea"/>
              <a:cs typeface="+mn-cs"/>
            </a:rPr>
            <a:t>outil</a:t>
          </a:r>
          <a:r>
            <a:rPr lang="fr-CA" sz="1600" b="1" baseline="0">
              <a:solidFill>
                <a:schemeClr val="dk1"/>
              </a:solidFill>
              <a:effectLst/>
              <a:latin typeface="+mn-lt"/>
              <a:ea typeface="+mn-ea"/>
              <a:cs typeface="+mn-cs"/>
            </a:rPr>
            <a:t> gratuit</a:t>
          </a:r>
          <a:r>
            <a:rPr lang="fr-CA" sz="1600" b="1">
              <a:solidFill>
                <a:schemeClr val="dk1"/>
              </a:solidFill>
              <a:effectLst/>
              <a:latin typeface="+mn-lt"/>
              <a:ea typeface="+mn-ea"/>
              <a:cs typeface="+mn-cs"/>
            </a:rPr>
            <a:t> </a:t>
          </a:r>
          <a:r>
            <a:rPr lang="fr-CA" sz="1600" b="0">
              <a:solidFill>
                <a:schemeClr val="dk1"/>
              </a:solidFill>
              <a:effectLst/>
              <a:latin typeface="+mn-lt"/>
              <a:ea typeface="+mn-ea"/>
              <a:cs typeface="+mn-cs"/>
            </a:rPr>
            <a:t>offert par Tourisme durable </a:t>
          </a:r>
          <a:r>
            <a:rPr lang="fr-CA" sz="1600" b="0" u="none">
              <a:solidFill>
                <a:schemeClr val="dk1"/>
              </a:solidFill>
              <a:effectLst/>
              <a:latin typeface="+mn-lt"/>
              <a:ea typeface="+mn-ea"/>
              <a:cs typeface="+mn-cs"/>
            </a:rPr>
            <a:t>Québec:</a:t>
          </a:r>
          <a:r>
            <a:rPr lang="fr-CA" sz="1600" b="0" u="none" baseline="0">
              <a:solidFill>
                <a:schemeClr val="dk1"/>
              </a:solidFill>
              <a:effectLst/>
              <a:latin typeface="+mn-lt"/>
              <a:ea typeface="+mn-ea"/>
              <a:cs typeface="+mn-cs"/>
            </a:rPr>
            <a:t> </a:t>
          </a:r>
          <a:r>
            <a:rPr lang="fr-CA" sz="1600" b="1" u="none" baseline="0">
              <a:solidFill>
                <a:schemeClr val="accent6">
                  <a:lumMod val="75000"/>
                </a:schemeClr>
              </a:solidFill>
              <a:effectLst/>
              <a:latin typeface="+mn-lt"/>
              <a:ea typeface="+mn-ea"/>
              <a:cs typeface="+mn-cs"/>
            </a:rPr>
            <a:t>Lexique du Tourisme durable</a:t>
          </a:r>
          <a:r>
            <a:rPr lang="fr-CA" sz="1600" b="0" u="none" baseline="0">
              <a:solidFill>
                <a:schemeClr val="dk1"/>
              </a:solidFill>
              <a:effectLst/>
              <a:latin typeface="+mn-lt"/>
              <a:ea typeface="+mn-ea"/>
              <a:cs typeface="+mn-cs"/>
            </a:rPr>
            <a:t>.</a:t>
          </a:r>
          <a:endParaRPr lang="fr-CA" sz="1600" b="1" u="none">
            <a:solidFill>
              <a:schemeClr val="accent6">
                <a:lumMod val="75000"/>
              </a:schemeClr>
            </a:solidFill>
            <a:effectLst/>
            <a:latin typeface="+mn-lt"/>
            <a:ea typeface="+mn-ea"/>
            <a:cs typeface="+mn-cs"/>
          </a:endParaRPr>
        </a:p>
        <a:p>
          <a:endParaRPr lang="fr-CA" sz="1600" b="1">
            <a:solidFill>
              <a:schemeClr val="accent1">
                <a:lumMod val="50000"/>
              </a:schemeClr>
            </a:solidFill>
            <a:effectLst/>
            <a:latin typeface="+mn-lt"/>
            <a:ea typeface="+mn-ea"/>
            <a:cs typeface="+mn-cs"/>
          </a:endParaRPr>
        </a:p>
        <a:p>
          <a:r>
            <a:rPr lang="fr-CA" sz="1600" b="1">
              <a:solidFill>
                <a:schemeClr val="accent1">
                  <a:lumMod val="50000"/>
                </a:schemeClr>
              </a:solidFill>
              <a:effectLst/>
              <a:latin typeface="+mn-lt"/>
              <a:ea typeface="+mn-ea"/>
              <a:cs typeface="+mn-cs"/>
            </a:rPr>
            <a:t>Conditions</a:t>
          </a:r>
          <a:r>
            <a:rPr lang="fr-CA" sz="1600" b="1" baseline="0">
              <a:solidFill>
                <a:schemeClr val="accent1">
                  <a:lumMod val="50000"/>
                </a:schemeClr>
              </a:solidFill>
              <a:effectLst/>
              <a:latin typeface="+mn-lt"/>
              <a:ea typeface="+mn-ea"/>
              <a:cs typeface="+mn-cs"/>
            </a:rPr>
            <a:t> d'utilisations</a:t>
          </a:r>
        </a:p>
        <a:p>
          <a:endParaRPr lang="fr-CA" sz="1600">
            <a:solidFill>
              <a:schemeClr val="dk1"/>
            </a:solidFill>
            <a:effectLst/>
            <a:latin typeface="+mn-lt"/>
            <a:ea typeface="+mn-ea"/>
            <a:cs typeface="+mn-cs"/>
          </a:endParaRPr>
        </a:p>
        <a:p>
          <a:r>
            <a:rPr lang="fr-CA" sz="1600">
              <a:solidFill>
                <a:schemeClr val="dk1"/>
              </a:solidFill>
              <a:effectLst/>
              <a:latin typeface="+mn-lt"/>
              <a:ea typeface="+mn-ea"/>
              <a:cs typeface="+mn-cs"/>
            </a:rPr>
            <a:t>Cet outil est offert gratuitement</a:t>
          </a:r>
          <a:r>
            <a:rPr lang="fr-CA" sz="1600" baseline="0">
              <a:solidFill>
                <a:schemeClr val="dk1"/>
              </a:solidFill>
              <a:effectLst/>
              <a:latin typeface="+mn-lt"/>
              <a:ea typeface="+mn-ea"/>
              <a:cs typeface="+mn-cs"/>
            </a:rPr>
            <a:t> par Tourisme durable Québec (TDQ) et Aventure écotourisme Québec (AEQ) pour aider les entreprises touristiques du Québec dans leur transition écologique. Il s'agit d'un outil en constante évolution, si vous souhaitez contribuer à son amélioration, merci de nous contacter.</a:t>
          </a:r>
        </a:p>
        <a:p>
          <a:endParaRPr lang="fr-CA" sz="1600" baseline="0">
            <a:solidFill>
              <a:schemeClr val="dk1"/>
            </a:solidFill>
            <a:effectLst/>
            <a:latin typeface="+mn-lt"/>
            <a:ea typeface="+mn-ea"/>
            <a:cs typeface="+mn-cs"/>
          </a:endParaRPr>
        </a:p>
        <a:p>
          <a:r>
            <a:rPr lang="fr-CA" sz="1600" baseline="0">
              <a:solidFill>
                <a:schemeClr val="dk1"/>
              </a:solidFill>
              <a:effectLst/>
              <a:latin typeface="+mn-lt"/>
              <a:ea typeface="+mn-ea"/>
              <a:cs typeface="+mn-cs"/>
            </a:rPr>
            <a:t>Toute reproduction de ce document, en tout ou en partie, est interdite sans l'autorisation de TDQ et d'AEQ .</a:t>
          </a:r>
        </a:p>
        <a:p>
          <a:endParaRPr lang="fr-CA" sz="1600" baseline="0">
            <a:solidFill>
              <a:schemeClr val="dk1"/>
            </a:solidFill>
            <a:effectLst/>
            <a:latin typeface="+mn-lt"/>
            <a:ea typeface="+mn-ea"/>
            <a:cs typeface="+mn-cs"/>
          </a:endParaRPr>
        </a:p>
        <a:p>
          <a:r>
            <a:rPr lang="fr-CA" sz="1600" baseline="0">
              <a:solidFill>
                <a:schemeClr val="dk1"/>
              </a:solidFill>
              <a:effectLst/>
              <a:latin typeface="+mn-lt"/>
              <a:ea typeface="+mn-ea"/>
              <a:cs typeface="+mn-cs"/>
            </a:rPr>
            <a:t>Il est interdit de vendre ce document ou de l'utiliser à toute autre fin commerciale. </a:t>
          </a:r>
        </a:p>
        <a:p>
          <a:endParaRPr lang="fr-CA" sz="1600" baseline="0">
            <a:solidFill>
              <a:schemeClr val="dk1"/>
            </a:solidFill>
            <a:effectLst/>
            <a:latin typeface="+mn-lt"/>
            <a:ea typeface="+mn-ea"/>
            <a:cs typeface="+mn-cs"/>
          </a:endParaRPr>
        </a:p>
        <a:p>
          <a:r>
            <a:rPr lang="fr-CA" sz="1600" baseline="0">
              <a:solidFill>
                <a:schemeClr val="dk1"/>
              </a:solidFill>
              <a:effectLst/>
              <a:latin typeface="+mn-lt"/>
              <a:ea typeface="+mn-ea"/>
              <a:cs typeface="+mn-cs"/>
            </a:rPr>
            <a:t>Afin d'éviter l'écoblanchiment involontaire, il est important de faire valider par un expert toute déclaration ou toute donnée qui résulte de l'utilisation de cet outil et que vous souhaitez diffuser publiquement. Tourisme durable Québec et Aventure Écotourisme Québec ne sont pas responsable des déclarations et des données que vous diffusez. </a:t>
          </a:r>
          <a:endParaRPr lang="fr-CA" sz="1600">
            <a:solidFill>
              <a:schemeClr val="dk1"/>
            </a:solidFill>
            <a:effectLst/>
            <a:latin typeface="+mn-lt"/>
            <a:ea typeface="+mn-ea"/>
            <a:cs typeface="+mn-cs"/>
          </a:endParaRPr>
        </a:p>
        <a:p>
          <a:endParaRPr lang="fr-CA" sz="1600" b="1">
            <a:solidFill>
              <a:schemeClr val="dk1"/>
            </a:solidFill>
            <a:effectLst/>
            <a:latin typeface="+mn-lt"/>
            <a:ea typeface="+mn-ea"/>
            <a:cs typeface="+mn-cs"/>
          </a:endParaRPr>
        </a:p>
        <a:p>
          <a:r>
            <a:rPr lang="fr-CA" sz="1600" b="1">
              <a:solidFill>
                <a:schemeClr val="dk1"/>
              </a:solidFill>
              <a:effectLst/>
              <a:latin typeface="+mn-lt"/>
              <a:ea typeface="+mn-ea"/>
              <a:cs typeface="+mn-cs"/>
            </a:rPr>
            <a:t>Pour citer ce calculateur: </a:t>
          </a:r>
          <a:r>
            <a:rPr lang="fr-CA" sz="1600" b="1" baseline="0">
              <a:solidFill>
                <a:schemeClr val="dk1"/>
              </a:solidFill>
              <a:effectLst/>
              <a:latin typeface="+mn-lt"/>
              <a:ea typeface="+mn-ea"/>
              <a:cs typeface="+mn-cs"/>
            </a:rPr>
            <a:t> Outil Bilan GES Tourisme (</a:t>
          </a:r>
          <a:r>
            <a:rPr lang="fr-CA" sz="1600" b="1" i="1">
              <a:solidFill>
                <a:schemeClr val="dk1"/>
              </a:solidFill>
              <a:effectLst/>
              <a:latin typeface="+mn-lt"/>
              <a:ea typeface="+mn-ea"/>
              <a:cs typeface="+mn-cs"/>
            </a:rPr>
            <a:t>Faubert, Patrick, Villeneuve, Claude, Dussereault</a:t>
          </a:r>
          <a:r>
            <a:rPr lang="fr-CA" sz="1600" b="1" i="1" baseline="0">
              <a:solidFill>
                <a:schemeClr val="dk1"/>
              </a:solidFill>
              <a:effectLst/>
              <a:latin typeface="+mn-lt"/>
              <a:ea typeface="+mn-ea"/>
              <a:cs typeface="+mn-cs"/>
            </a:rPr>
            <a:t>, Pierre-Luc, Benbelaid, Yasmine. Outil Bilan GES Tourisme. Chaire de recherche en éco-conseil, Université du Québec à Chicoutimi, Tourisme durable Québec, Aventure Écotourisme Québec, PAR Conseils).</a:t>
          </a:r>
        </a:p>
        <a:p>
          <a:r>
            <a:rPr lang="fr-CA" sz="1600" b="1">
              <a:solidFill>
                <a:schemeClr val="dk1"/>
              </a:solidFill>
              <a:effectLst/>
              <a:latin typeface="+mn-lt"/>
              <a:ea typeface="+mn-ea"/>
              <a:cs typeface="+mn-cs"/>
            </a:rPr>
            <a:t>	</a:t>
          </a:r>
          <a:r>
            <a:rPr lang="fr-CA" sz="1600">
              <a:solidFill>
                <a:schemeClr val="dk1"/>
              </a:solidFill>
              <a:effectLst/>
              <a:latin typeface="+mn-lt"/>
              <a:ea typeface="+mn-ea"/>
              <a:cs typeface="+mn-cs"/>
            </a:rPr>
            <a:t>			</a:t>
          </a:r>
        </a:p>
        <a:p>
          <a:r>
            <a:rPr lang="en-CA" sz="1600" b="1" i="0" u="none" strike="noStrike">
              <a:solidFill>
                <a:schemeClr val="dk1"/>
              </a:solidFill>
              <a:effectLst/>
              <a:latin typeface="+mn-lt"/>
              <a:ea typeface="+mn-ea"/>
              <a:cs typeface="+mn-cs"/>
            </a:rPr>
            <a:t>Dernière</a:t>
          </a:r>
          <a:r>
            <a:rPr lang="en-CA" sz="1600" b="1" i="0" u="none" strike="noStrike" baseline="0">
              <a:solidFill>
                <a:schemeClr val="dk1"/>
              </a:solidFill>
              <a:effectLst/>
              <a:latin typeface="+mn-lt"/>
              <a:ea typeface="+mn-ea"/>
              <a:cs typeface="+mn-cs"/>
            </a:rPr>
            <a:t> </a:t>
          </a:r>
          <a:r>
            <a:rPr lang="en-CA" sz="1600" b="1" i="0" u="none" strike="noStrike">
              <a:solidFill>
                <a:schemeClr val="dk1"/>
              </a:solidFill>
              <a:effectLst/>
              <a:latin typeface="+mn-lt"/>
              <a:ea typeface="+mn-ea"/>
              <a:cs typeface="+mn-cs"/>
            </a:rPr>
            <a:t>mise</a:t>
          </a:r>
          <a:r>
            <a:rPr lang="en-CA" sz="1600" b="1" i="0" u="none" strike="noStrike" baseline="0">
              <a:solidFill>
                <a:schemeClr val="dk1"/>
              </a:solidFill>
              <a:effectLst/>
              <a:latin typeface="+mn-lt"/>
              <a:ea typeface="+mn-ea"/>
              <a:cs typeface="+mn-cs"/>
            </a:rPr>
            <a:t> à jour : f</a:t>
          </a:r>
          <a:r>
            <a:rPr lang="en-CA" sz="1600" b="1" i="0" u="none" strike="noStrike">
              <a:solidFill>
                <a:schemeClr val="dk1"/>
              </a:solidFill>
              <a:effectLst/>
              <a:latin typeface="+mn-lt"/>
              <a:ea typeface="+mn-ea"/>
              <a:cs typeface="+mn-cs"/>
            </a:rPr>
            <a:t>évrier 2024</a:t>
          </a:r>
          <a:endParaRPr lang="fr-CA" sz="1600" b="1">
            <a:solidFill>
              <a:schemeClr val="dk1"/>
            </a:solidFill>
            <a:effectLst/>
            <a:latin typeface="+mn-lt"/>
            <a:ea typeface="+mn-ea"/>
            <a:cs typeface="+mn-cs"/>
          </a:endParaRPr>
        </a:p>
        <a:p>
          <a:endParaRPr lang="fr-CA" sz="1400">
            <a:solidFill>
              <a:schemeClr val="dk1"/>
            </a:solidFill>
            <a:effectLst/>
            <a:latin typeface="+mn-lt"/>
            <a:ea typeface="+mn-ea"/>
            <a:cs typeface="+mn-cs"/>
          </a:endParaRPr>
        </a:p>
        <a:p>
          <a:endParaRPr lang="fr-CA" sz="1100">
            <a:solidFill>
              <a:schemeClr val="dk1"/>
            </a:solidFill>
            <a:effectLst/>
            <a:latin typeface="+mn-lt"/>
            <a:ea typeface="+mn-ea"/>
            <a:cs typeface="+mn-cs"/>
          </a:endParaRPr>
        </a:p>
        <a:p>
          <a:endParaRPr lang="fr-CA" sz="1400">
            <a:solidFill>
              <a:schemeClr val="dk1"/>
            </a:solidFill>
            <a:effectLst/>
            <a:latin typeface="+mn-lt"/>
            <a:ea typeface="+mn-ea"/>
            <a:cs typeface="+mn-cs"/>
          </a:endParaRPr>
        </a:p>
        <a:p>
          <a:endParaRPr lang="fr-CA"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fr-CA" sz="1100">
            <a:latin typeface="+mn-lt"/>
          </a:endParaRPr>
        </a:p>
      </xdr:txBody>
    </xdr:sp>
    <xdr:clientData/>
  </xdr:twoCellAnchor>
  <xdr:twoCellAnchor editAs="oneCell">
    <xdr:from>
      <xdr:col>1</xdr:col>
      <xdr:colOff>2549095</xdr:colOff>
      <xdr:row>59</xdr:row>
      <xdr:rowOff>83365</xdr:rowOff>
    </xdr:from>
    <xdr:to>
      <xdr:col>3</xdr:col>
      <xdr:colOff>766600</xdr:colOff>
      <xdr:row>68</xdr:row>
      <xdr:rowOff>83706</xdr:rowOff>
    </xdr:to>
    <xdr:pic>
      <xdr:nvPicPr>
        <xdr:cNvPr id="4" name="Picture 3" descr="Aventure écotourisme Québec">
          <a:extLst>
            <a:ext uri="{FF2B5EF4-FFF2-40B4-BE49-F238E27FC236}">
              <a16:creationId xmlns:a16="http://schemas.microsoft.com/office/drawing/2014/main" id="{FBABE27C-5E27-5947-BF3C-B01B8A024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4195" y="12072165"/>
          <a:ext cx="2510105" cy="18291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317843</xdr:colOff>
      <xdr:row>60</xdr:row>
      <xdr:rowOff>57539</xdr:rowOff>
    </xdr:from>
    <xdr:to>
      <xdr:col>1</xdr:col>
      <xdr:colOff>1863463</xdr:colOff>
      <xdr:row>68</xdr:row>
      <xdr:rowOff>63128</xdr:rowOff>
    </xdr:to>
    <xdr:pic>
      <xdr:nvPicPr>
        <xdr:cNvPr id="5" name="Picture 4">
          <a:extLst>
            <a:ext uri="{FF2B5EF4-FFF2-40B4-BE49-F238E27FC236}">
              <a16:creationId xmlns:a16="http://schemas.microsoft.com/office/drawing/2014/main" id="{B002576E-1C66-2B41-AE37-B494B32715F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317843" y="12249539"/>
          <a:ext cx="2980720" cy="16311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756551</xdr:colOff>
      <xdr:row>59</xdr:row>
      <xdr:rowOff>169385</xdr:rowOff>
    </xdr:from>
    <xdr:to>
      <xdr:col>8</xdr:col>
      <xdr:colOff>114265</xdr:colOff>
      <xdr:row>68</xdr:row>
      <xdr:rowOff>94881</xdr:rowOff>
    </xdr:to>
    <xdr:pic>
      <xdr:nvPicPr>
        <xdr:cNvPr id="6" name="Picture 5" descr="PAR Conseils">
          <a:extLst>
            <a:ext uri="{FF2B5EF4-FFF2-40B4-BE49-F238E27FC236}">
              <a16:creationId xmlns:a16="http://schemas.microsoft.com/office/drawing/2014/main" id="{2FCE8563-64D3-FB47-B051-17E67476263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09751" y="12158185"/>
          <a:ext cx="2659714" cy="17542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649272</xdr:colOff>
      <xdr:row>61</xdr:row>
      <xdr:rowOff>140177</xdr:rowOff>
    </xdr:from>
    <xdr:to>
      <xdr:col>14</xdr:col>
      <xdr:colOff>319216</xdr:colOff>
      <xdr:row>66</xdr:row>
      <xdr:rowOff>77843</xdr:rowOff>
    </xdr:to>
    <xdr:pic>
      <xdr:nvPicPr>
        <xdr:cNvPr id="7" name="Picture 6">
          <a:extLst>
            <a:ext uri="{FF2B5EF4-FFF2-40B4-BE49-F238E27FC236}">
              <a16:creationId xmlns:a16="http://schemas.microsoft.com/office/drawing/2014/main" id="{904706E3-3BA1-F242-B9C6-B5CABA08F52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10504472" y="12535377"/>
          <a:ext cx="4622944" cy="9536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1799166</xdr:colOff>
      <xdr:row>32</xdr:row>
      <xdr:rowOff>45357</xdr:rowOff>
    </xdr:from>
    <xdr:to>
      <xdr:col>5</xdr:col>
      <xdr:colOff>15119</xdr:colOff>
      <xdr:row>33</xdr:row>
      <xdr:rowOff>136072</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1F642025-3FD2-7D49-A62C-77DC05EFD584}"/>
            </a:ext>
          </a:extLst>
        </xdr:cNvPr>
        <xdr:cNvSpPr/>
      </xdr:nvSpPr>
      <xdr:spPr>
        <a:xfrm>
          <a:off x="3234266" y="6547757"/>
          <a:ext cx="4159553" cy="29391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xdr:from>
      <xdr:col>21</xdr:col>
      <xdr:colOff>166310</xdr:colOff>
      <xdr:row>32</xdr:row>
      <xdr:rowOff>120953</xdr:rowOff>
    </xdr:from>
    <xdr:to>
      <xdr:col>24</xdr:col>
      <xdr:colOff>151191</xdr:colOff>
      <xdr:row>33</xdr:row>
      <xdr:rowOff>136072</xdr:rowOff>
    </xdr:to>
    <xdr:sp macro="" textlink="">
      <xdr:nvSpPr>
        <xdr:cNvPr id="9" name="Rectangle 8">
          <a:hlinkClick xmlns:r="http://schemas.openxmlformats.org/officeDocument/2006/relationships" r:id="rId6"/>
          <a:extLst>
            <a:ext uri="{FF2B5EF4-FFF2-40B4-BE49-F238E27FC236}">
              <a16:creationId xmlns:a16="http://schemas.microsoft.com/office/drawing/2014/main" id="{FBC9241C-CAB3-334F-A976-F43A0BAFFACA}"/>
            </a:ext>
          </a:extLst>
        </xdr:cNvPr>
        <xdr:cNvSpPr/>
      </xdr:nvSpPr>
      <xdr:spPr>
        <a:xfrm>
          <a:off x="20753010" y="6623353"/>
          <a:ext cx="2461381" cy="21831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twoCellAnchor>
    <xdr:from>
      <xdr:col>4</xdr:col>
      <xdr:colOff>755952</xdr:colOff>
      <xdr:row>23</xdr:row>
      <xdr:rowOff>105834</xdr:rowOff>
    </xdr:from>
    <xdr:to>
      <xdr:col>10</xdr:col>
      <xdr:colOff>816429</xdr:colOff>
      <xdr:row>24</xdr:row>
      <xdr:rowOff>181428</xdr:rowOff>
    </xdr:to>
    <xdr:sp macro="" textlink="">
      <xdr:nvSpPr>
        <xdr:cNvPr id="10" name="Rectangle 9">
          <a:hlinkClick xmlns:r="http://schemas.openxmlformats.org/officeDocument/2006/relationships" r:id="rId7"/>
          <a:extLst>
            <a:ext uri="{FF2B5EF4-FFF2-40B4-BE49-F238E27FC236}">
              <a16:creationId xmlns:a16="http://schemas.microsoft.com/office/drawing/2014/main" id="{42DA685D-CE94-9A42-85AE-8C7112B8C3E8}"/>
            </a:ext>
          </a:extLst>
        </xdr:cNvPr>
        <xdr:cNvSpPr/>
      </xdr:nvSpPr>
      <xdr:spPr>
        <a:xfrm>
          <a:off x="7309152" y="4779434"/>
          <a:ext cx="5013477" cy="27879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A" sz="1100"/>
        </a:p>
      </xdr:txBody>
    </xdr:sp>
    <xdr:clientData/>
  </xdr:twoCellAnchor>
</xdr:wsDr>
</file>

<file path=xl/persons/person.xml><?xml version="1.0" encoding="utf-8"?>
<personList xmlns="http://schemas.microsoft.com/office/spreadsheetml/2018/threadedcomments" xmlns:x="http://schemas.openxmlformats.org/spreadsheetml/2006/main">
  <person displayName="Pierre-Luc Dessureault" id="{7FD44296-24D3-1D4D-BEFD-4BA170EBC2BB}" userId="Pierre-Luc Dessureault" providerId="None"/>
  <person displayName="Pierre-Luc Dessureault" id="{93CCD387-619A-4F1D-A1D6-1FD2D9618F95}" userId="S::pldessur@uqac.ca::e3e10ecb-029d-4be0-82b2-db70276fba49" providerId="AD"/>
  <person displayName="YASMIN-IMENE BENBELAID" id="{05BAD208-6DAA-DC4A-9AD2-14A88DDEBE71}" userId="S::ybenbelaid@etu.uqac.ca::82efc476-f185-429d-b327-6154eb4da7a1" providerId="AD"/>
  <person displayName="Benbelaid, Yasmine" id="{5B9D2782-82ED-2649-A978-E6071A3FE2A1}" userId="S::yasmine.benbelaid@hatch.com::3310ad4d-4af2-4680-bbc6-f46172735ac1" providerId="AD"/>
</personList>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3" dT="2024-04-16T19:26:43.68" personId="{05BAD208-6DAA-DC4A-9AD2-14A88DDEBE71}" id="{9B234449-635B-E44C-B604-C063E75DE66E}">
    <text>Entrer le nombre total de clients reçu pour l’année de quantification</text>
  </threadedComment>
  <threadedComment ref="A14" dT="2024-04-16T19:26:18.05" personId="{05BAD208-6DAA-DC4A-9AD2-14A88DDEBE71}" id="{9FC385C8-0B0E-EF48-9CBB-36BA73EECAF2}">
    <text>Insérer le nombre total de chambres réservées pour l’année de quantification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2-05-30T19:55:51.18" personId="{7FD44296-24D3-1D4D-BEFD-4BA170EBC2BB}" id="{95CA0B4F-13AF-5A45-87DD-100AF217E77F}">
    <text>Indiquez la quantité de combustibles utilisés durant l'année dans une fournaise, une génératrice ou/et une autre machine non mobile.</text>
  </threadedComment>
  <threadedComment ref="A12" dT="2022-05-31T14:05:55.48" personId="{7FD44296-24D3-1D4D-BEFD-4BA170EBC2BB}" id="{41205252-CBEE-8A4E-B0E4-BE50F749D4EE}">
    <text>Indiquez la quantité de carburant utilisé durant l’année dans les véhicules.</text>
  </threadedComment>
  <threadedComment ref="A20" dT="2024-01-11T17:28:39.33" personId="{05BAD208-6DAA-DC4A-9AD2-14A88DDEBE71}" id="{6DEDB650-D531-EE44-A16D-F4BB07995857}">
    <text>Option: Si vous connaissez la distance (en KM) de votre véhicule</text>
  </threadedComment>
  <threadedComment ref="A21" dT="2024-01-11T17:28:47.92" personId="{05BAD208-6DAA-DC4A-9AD2-14A88DDEBE71}" id="{CAED6094-F226-7C4C-8CB1-2297C90F53FC}">
    <text>Option: Si vous connaissez la distance (en KM) de votre véhicule</text>
  </threadedComment>
  <threadedComment ref="A22" dT="2024-01-11T17:29:15.70" personId="{05BAD208-6DAA-DC4A-9AD2-14A88DDEBE71}" id="{89AC0745-67B1-334F-BD4C-C26B1A922166}">
    <text>Option: Si vous connaissez la distance (en KM) de votre véhicule</text>
  </threadedComment>
  <threadedComment ref="A23" dT="2024-01-11T17:29:43.05" personId="{05BAD208-6DAA-DC4A-9AD2-14A88DDEBE71}" id="{F3D66AD2-7663-4E47-B277-E57BB0797BEA}">
    <text>Option: Si vous connaissez la distance (en KM) de votre véhicule</text>
  </threadedComment>
  <threadedComment ref="A25" dT="2022-05-31T14:10:13.08" personId="{7FD44296-24D3-1D4D-BEFD-4BA170EBC2BB}" id="{A50348A9-FA7F-E24D-A832-46CF86E3E329}">
    <text>Indiquez la quantité de liquide de climatisation ou de réfrigération ajouté dans les réfrigérateurs et le système de climatisation. Il a un menu déroulant pour le choix des liquides.</text>
  </threadedComment>
  <threadedComment ref="J28" dT="2024-02-15T17:28:58.03" personId="{05BAD208-6DAA-DC4A-9AD2-14A88DDEBE71}" id="{99C4D392-3EE1-1C43-974D-6F7F43711201}">
    <text>Comptabiliser le nombre de clients en provenance de courtes, moyennes et longues distances</text>
  </threadedComment>
  <threadedComment ref="A30" dT="2024-01-15T19:19:07.66" personId="{05BAD208-6DAA-DC4A-9AD2-14A88DDEBE71}" id="{71B97EB1-398A-054B-9631-9A89E8B9FED8}">
    <text xml:space="preserve">Si vous n'avez pas la quantité de liquide ajouté, utilisez cette option qui est le facteur de perte/an suggéré par le guide de quantitification de GES. 
Dans la colonne B indiquer le nombre d'appareils et dans la colonne C (optionnel), indiquez le nombre d'années 
</text>
  </threadedComment>
  <threadedComment ref="J32" dT="2024-01-15T19:06:30.50" personId="{05BAD208-6DAA-DC4A-9AD2-14A88DDEBE71}" id="{9C30E672-B7F7-E948-8C41-C6489E31A06F}">
    <text>Proportion de calcul pour les distances: 
- Courte distance 100 km et moins (100% des émissions) 
- Moyenne distance 101 à 800 km (50% des émissions) 
- Longue distance de + 801 km (25% des émissions)
Pour faciliter la comptabilisation, les hypothèses de distance ont été établie, c’est pour cette raison que le FÉ est par KM et qu’on ajoute le nombre de personne.</text>
  </threadedComment>
  <threadedComment ref="A34" dT="2022-05-31T14:13:43.67" personId="{7FD44296-24D3-1D4D-BEFD-4BA170EBC2BB}" id="{47AC0DA9-8882-434F-9E48-212F55E76008}">
    <text>Indiquez la quantité d'électricité consommée annuellement par vos installations.</text>
  </threadedComment>
  <threadedComment ref="J39" dT="2024-05-30T19:58:25.88" personId="{05BAD208-6DAA-DC4A-9AD2-14A88DDEBE71}" id="{86D56667-F0D1-294A-B440-5B86578C6168}">
    <text>Les émissions totales seront comptabilisées dans l’onglet sommaire des émissions et tiendra compte du covoiturage. Donc pour avoir l’empreinte carbone des déplacements des employés domicile-travail, veuillez consulter l’onglet sommaire des émissions.</text>
  </threadedComment>
  <threadedComment ref="T39" dT="2022-05-31T14:35:11.52" personId="{7FD44296-24D3-1D4D-BEFD-4BA170EBC2BB}" id="{652E8C1C-DA11-7E44-A0E6-D3D9D8D1F2D7}">
    <text>Indiquez le nombre de personnes qui se sont déplacées, le type de véhicules et le nombre de kilomètres parcourus. Si c’est un voyage d’affaires, indiquez le nombre de kilomètres parcourus aller et retour. Si c’est du déplacement d’employé domicile-travail, indiquez la quantité totale de kilomètres parcourus durant l’année.
NB: Dans la colonne R indiquez le nom des employés</text>
  </threadedComment>
  <threadedComment ref="U39" dT="2024-02-19T19:05:04.49" personId="{05BAD208-6DAA-DC4A-9AD2-14A88DDEBE71}" id="{F68A8E6E-F97E-9943-96F1-B70B89DB9E55}">
    <text xml:space="preserve">Insérer le nombre de personne dans cette colonne, si vous écrivez le nom des employés la formule ne fonctionnera pas </text>
  </threadedComment>
  <threadedComment ref="V39" dT="2024-02-19T19:05:32.48" personId="{05BAD208-6DAA-DC4A-9AD2-14A88DDEBE71}" id="{896F53FB-8BE3-364B-A141-A2CBD01E4E58}">
    <text xml:space="preserve">Utiliser le menu déroulant pour indiquer le mode de transport. Si vous mentionnez un mode de transport qui n’existe pas dans le menu déroulant, la formule ne marchera pas </text>
  </threadedComment>
  <threadedComment ref="AB39" dT="2024-05-22T18:00:23.98" personId="{05BAD208-6DAA-DC4A-9AD2-14A88DDEBE71}" id="{BD5DE98D-2AC3-604E-8605-87121F9410AA}">
    <text>Calculateur du covoiturage pour les automobiles, véhicules hybrides et électriques. Le chiffre comptabilise les émissions de GES d’une seule personne</text>
  </threadedComment>
  <threadedComment ref="AG39" dT="2023-04-03T17:44:11.97" personId="{5B9D2782-82ED-2649-A978-E6071A3FE2A1}" id="{93CF6D35-FFC3-ED47-8BA1-895B2199BED3}">
    <text>Ajouter ici la distance totale parcourue moyenne pour l'ensemble de vos clients pour chacun des modes de transport utilisés</text>
  </threadedComment>
  <threadedComment ref="AJ39" dT="2024-05-31T15:06:28.36" personId="{05BAD208-6DAA-DC4A-9AD2-14A88DDEBE71}" id="{58551C67-F0F8-4E43-8923-ACE5085E50B4}">
    <text xml:space="preserve">Déplacement de 100km et moins: 100% des GES attribués à l’entreprise.
De 101 à 800km: 50% des GES attribués à l’entreprise
801km et plus: 25% des GES attribués à l’entreprise </text>
  </threadedComment>
  <threadedComment ref="J40" dT="2022-05-31T14:35:11.52" personId="{7FD44296-24D3-1D4D-BEFD-4BA170EBC2BB}" id="{06BF240D-1BCC-614C-97A3-32A105EC48CD}">
    <text xml:space="preserve">ndiquez le nombre de personnes qui se sont déplacées, le type de véhicules et le nombre de kilomètres parcourus. Si c’est un voyage d’affaires, indiquez le nombre de kilomètres parcourus aller et retour. Si c’est du déplacement d’employé domicile-travail, indiquez la quantité totale de kilomètres parcourus durant l’année.
NB: Inscrire le nom des personnes dans la colonne I 
</text>
  </threadedComment>
  <threadedComment ref="K40" dT="2024-02-19T16:07:38.89" personId="{05BAD208-6DAA-DC4A-9AD2-14A88DDEBE71}" id="{A07B7B96-42AD-FF46-B0CD-6CB0F2A2A618}">
    <text xml:space="preserve">Incrire uniquement le nombre de passagers par véhicule dans cette colonne. Ne pas inscrire de noms ou prénoms la formule ne fonctionnera pas </text>
  </threadedComment>
  <threadedComment ref="R40" dT="2024-05-22T18:00:23.98" personId="{05BAD208-6DAA-DC4A-9AD2-14A88DDEBE71}" id="{1DA9B968-CA31-D54B-9421-7D555EECFB03}">
    <text>Calculateur du covoiturage pour les automobiles, véhicules hybrides et électriques. Le chiffre comptabilise les émissions de GES d’une seule personne</text>
  </threadedComment>
  <threadedComment ref="AD40" dT="2024-04-02T19:48:04.01" personId="{05BAD208-6DAA-DC4A-9AD2-14A88DDEBE71}" id="{1E5A4DCA-686D-C64D-850C-563FC9B13C43}">
    <text>EPA - normes de vérificationISO-14064</text>
  </threadedComment>
  <threadedComment ref="A43" dT="2024-01-15T19:29:25.51" personId="{05BAD208-6DAA-DC4A-9AD2-14A88DDEBE71}" id="{900BFF37-B3C6-8E4A-933F-B090F9EC29DA}">
    <text>Indiquez le nombre de bacs envoyés, annuellement, dans les filières d’élimination et récupération.</text>
  </threadedComment>
  <threadedComment ref="D43" dT="2024-01-15T01:47:58.98" personId="{05BAD208-6DAA-DC4A-9AD2-14A88DDEBE71}" id="{56E86936-8B2D-0E4C-A34A-1A5E215AD53B}">
    <text xml:space="preserve">Inscrire la distance (en chiffre) au site en km. 
Si vous n’avez pas la donnée laissez la cellule vide, n’inscrivez surtout pas 0 le calcul ne fonctionnera pas </text>
  </threadedComment>
  <threadedComment ref="AF47" dT="2022-05-18T18:26:56.58" personId="{7FD44296-24D3-1D4D-BEFD-4BA170EBC2BB}" id="{0AAD176A-127E-B04F-B849-7ABF66B46707}">
    <text>augmentation de 10% de consommation</text>
  </threadedComment>
  <threadedComment ref="A49" dT="2024-01-12T02:30:11.00" personId="{05BAD208-6DAA-DC4A-9AD2-14A88DDEBE71}" id="{41B07C10-5F79-7745-99BB-6D208591FE01}">
    <text>Insérer le nombre de minutes de l’évènement que vous avez effectuer dans le mois ou l’année (en fonction de comment vous comptabilisez vos émissions de GES (base mensuelle ou annuelle). 
Si vos évènements durent approximativement le même temps, je vous recommande d’utiliser la colonne D et d’inscrire le nombre d’évènements que vous avez tenus dans le mois ou l’année</text>
  </threadedComment>
  <threadedComment ref="A60" dT="2024-01-15T19:32:56.58" personId="{05BAD208-6DAA-DC4A-9AD2-14A88DDEBE71}" id="{6DBE1396-B8AC-FC42-B263-A7867539C351}">
    <text xml:space="preserve">Indiquez la quantité en nombre pour chaque produit. Pour le mobilier et autre produit non-consommable, indiquez le nombre d’année dans la colonne D  pour avoir un calcul en ACV </text>
  </threadedComment>
  <threadedComment ref="A64" dT="2024-01-15T20:29:44.01" personId="{05BAD208-6DAA-DC4A-9AD2-14A88DDEBE71}" id="{DD589328-7F65-274C-8904-3DFE0308D963}">
    <text>Hypothèse: Pour un contenant régulier d’environ 1L</text>
  </threadedComment>
  <threadedComment ref="A65" dT="2024-01-15T20:30:15.93" personId="{05BAD208-6DAA-DC4A-9AD2-14A88DDEBE71}" id="{05C538F3-E4CB-FC40-BB89-A38D328E7843}">
    <text>Hypothèse: Pour une bouteille régulière de 700 ml</text>
  </threadedComment>
  <threadedComment ref="A71" dT="2024-02-09T15:25:53.90" personId="{05BAD208-6DAA-DC4A-9AD2-14A88DDEBE71}" id="{EEBE557D-358A-2A4F-AE4C-FB8BB26F20D2}">
    <text xml:space="preserve">Hypothèse: Durée de vie d’un ordinateur de bureau entre 5 et 8 ans; évidemment cela dépends du matériel, de l’entretient et de plusieurs autres facteurs </text>
  </threadedComment>
  <threadedComment ref="A72" dT="2024-02-09T15:31:28.57" personId="{05BAD208-6DAA-DC4A-9AD2-14A88DDEBE71}" id="{6B59D60B-35E5-CA42-9CCC-272EB3583765}">
    <text xml:space="preserve">Hypothèse: Durée de vie d’un ordinateur portable entre 6 et 10 ans; évidemment cela dépends du matériel, de l’entretient et de plusieurs autres facteurs </text>
  </threadedComment>
  <threadedComment ref="A73" dT="2024-02-09T15:37:48.29" personId="{05BAD208-6DAA-DC4A-9AD2-14A88DDEBE71}" id="{379F4241-811C-6B4B-BC0D-A4E206AA6EFF}">
    <text xml:space="preserve">Hypothèse: Durée de vie d’un bureau en bois est de 10 ans; évidemment cela dépends du matériel, de l’entretient et de plusieurs autres facteurs </text>
  </threadedComment>
  <threadedComment ref="A74" dT="2024-02-09T15:40:08.09" personId="{05BAD208-6DAA-DC4A-9AD2-14A88DDEBE71}" id="{039A8494-846F-D748-8556-F8FAF07918D2}">
    <text xml:space="preserve">Hypothèse: Durée de vie environ 7 ans; évidemment cela dépends du matériel, de l’entretient et de plusieurs autres facteurs </text>
  </threadedComment>
  <threadedComment ref="A75" dT="2024-02-09T15:34:39.88" personId="{05BAD208-6DAA-DC4A-9AD2-14A88DDEBE71}" id="{8DE0758F-D3C5-C046-8BB4-20199D02010E}">
    <text xml:space="preserve">Hypothèse: durée de vie d’une chaise de bureau générique de 10 ans; évidemment cela dépends du matériel, de l’entretient et de plusieurs autres facteurs </text>
  </threadedComment>
  <threadedComment ref="A76" dT="2024-02-09T18:04:27.67" personId="{05BAD208-6DAA-DC4A-9AD2-14A88DDEBE71}" id="{44344E09-D491-EF4C-8EE9-B20F0C04E283}">
    <text xml:space="preserve">Hypothèse: Durée de vie d’une table de conférence environ 10 ans, évidemment cela dépends du matériel, de l’entretient et de plusieurs autres facteurs </text>
  </threadedComment>
  <threadedComment ref="A77" dT="2024-02-09T18:09:27.10" personId="{05BAD208-6DAA-DC4A-9AD2-14A88DDEBE71}" id="{8C46023D-B4E9-874B-9694-76EB22395E01}">
    <text xml:space="preserve">Hypothèse: durée de vie d'environ 5 ans, selon l’utilisation, des mises à jours </text>
  </threadedComment>
  <threadedComment ref="A78" dT="2024-02-09T18:11:42.92" personId="{05BAD208-6DAA-DC4A-9AD2-14A88DDEBE71}" id="{563553D6-23CD-1148-A94E-A56685CB5341}">
    <text xml:space="preserve">Hypothèse: durée de vie d'environ 5 ans, selon l’utilisation, des mises à jours </text>
  </threadedComment>
  <threadedComment ref="A79" dT="2024-02-09T18:11:52.20" personId="{05BAD208-6DAA-DC4A-9AD2-14A88DDEBE71}" id="{41B73A23-311B-5943-AD27-0F86380E12E5}">
    <text xml:space="preserve">Hypothèse: durée de vie d'environ 5 ans, selon l’utilisation, des mises à jours </text>
  </threadedComment>
  <threadedComment ref="A80" dT="2024-02-09T18:14:28.71" personId="{05BAD208-6DAA-DC4A-9AD2-14A88DDEBE71}" id="{698FE222-5651-8C41-BE58-431DDAADC3DB}">
    <text xml:space="preserve">Hypothèse: Durée de vie d’environ 6 ans </text>
  </threadedComment>
  <threadedComment ref="A81" dT="2024-02-09T18:16:13.61" personId="{05BAD208-6DAA-DC4A-9AD2-14A88DDEBE71}" id="{D62EF18D-7BB3-0E47-8603-02AAD02B1B69}">
    <text xml:space="preserve">Hypothèse: Durée de vie de 2 à 4 ans en fonction des modèles </text>
  </threadedComment>
  <threadedComment ref="A82" dT="2024-02-09T18:17:44.43" personId="{05BAD208-6DAA-DC4A-9AD2-14A88DDEBE71}" id="{FD648845-5258-0541-A6FC-8BB2C3646651}">
    <text xml:space="preserve">Hypothèse: Durée de vie d’environ 30 ans </text>
  </threadedComment>
  <threadedComment ref="A83" dT="2024-02-09T18:57:04.55" personId="{05BAD208-6DAA-DC4A-9AD2-14A88DDEBE71}" id="{79E3BBA8-5406-804D-98F0-B57271224BC9}">
    <text xml:space="preserve">Hypothèse: Durée de vie entre 5 et 7 ans; selon l’utilisation </text>
  </threadedComment>
  <threadedComment ref="A84" dT="2024-02-09T18:57:18.96" personId="{05BAD208-6DAA-DC4A-9AD2-14A88DDEBE71}" id="{F6E88FE5-808F-834C-B8F8-4A53EE3F0688}">
    <text xml:space="preserve">Hypothèse: Durée de vie entre 5 et 7 ans; selon l’utilisation </text>
  </threadedComment>
  <threadedComment ref="A86" dT="2024-02-09T19:14:14.41" personId="{05BAD208-6DAA-DC4A-9AD2-14A88DDEBE71}" id="{CC64338A-E195-144D-9986-88E2818317CF}">
    <text xml:space="preserve">Hypothèse: durée de vie d’environ 5 ans </text>
  </threadedComment>
  <threadedComment ref="A87" dT="2024-02-09T19:16:32.78" personId="{05BAD208-6DAA-DC4A-9AD2-14A88DDEBE71}" id="{C50A99D8-7A4F-1546-A7DC-45A4CB02B1D5}">
    <text xml:space="preserve">Hypothèse: Durée de vie entre 5 et 8 ans </text>
  </threadedComment>
  <threadedComment ref="A88" dT="2024-02-09T19:18:48.97" personId="{05BAD208-6DAA-DC4A-9AD2-14A88DDEBE71}" id="{DB6A3308-567C-964E-8656-FA47D76C8BAC}">
    <text xml:space="preserve">Hypothèse: Durée de vie entre 7 et 8 ans </text>
  </threadedComment>
  <threadedComment ref="A89" dT="2024-02-09T19:21:00.17" personId="{05BAD208-6DAA-DC4A-9AD2-14A88DDEBE71}" id="{885293CE-0937-8743-965F-31089A1B6FE7}">
    <text xml:space="preserve">Hypothèse: Durée de vie d’environ 6 ans </text>
  </threadedComment>
  <threadedComment ref="A90" dT="2024-02-09T19:23:51.75" personId="{05BAD208-6DAA-DC4A-9AD2-14A88DDEBE71}" id="{D091F733-95BE-294B-959E-322BECBE0A4B}">
    <text xml:space="preserve">Hypothèse: Durée de vie d’environ 10 ans </text>
  </threadedComment>
  <threadedComment ref="A91" dT="2024-02-09T19:24:30.73" personId="{05BAD208-6DAA-DC4A-9AD2-14A88DDEBE71}" id="{D2A5C793-EFE4-B149-A082-4AFE0CADFC52}">
    <text xml:space="preserve">Hypothèse: Durée de vie d’environ 10 ans </text>
  </threadedComment>
  <threadedComment ref="A92" dT="2024-02-09T19:25:16.97" personId="{05BAD208-6DAA-DC4A-9AD2-14A88DDEBE71}" id="{429F6A2C-7EB9-974D-B97A-7A1A32CAFB1F}">
    <text xml:space="preserve">Hypothèse: Durée de vie d’environ 10 ans </text>
  </threadedComment>
  <threadedComment ref="A93" dT="2024-02-09T19:25:35.37" personId="{05BAD208-6DAA-DC4A-9AD2-14A88DDEBE71}" id="{96318EDB-C478-4F4A-B70F-07FAC12B1CB8}">
    <text xml:space="preserve">Hypothèse: Durée de vie d’environ 10 ans </text>
  </threadedComment>
  <threadedComment ref="A94" dT="2024-02-09T19:35:21.67" personId="{05BAD208-6DAA-DC4A-9AD2-14A88DDEBE71}" id="{7DC587BD-E38D-F340-800C-5420ED7C429D}">
    <text xml:space="preserve">Hypothèse: Durée de vie d’environ 5 ans </text>
  </threadedComment>
  <threadedComment ref="A96" dT="2024-02-09T19:38:55.06" personId="{05BAD208-6DAA-DC4A-9AD2-14A88DDEBE71}" id="{08255870-AF63-3D4F-BCC4-B98D606563E0}">
    <text>Hypothèse: Durée de vie d’environ 9 ans, selon l’utilisation et l’entretient</text>
  </threadedComment>
  <threadedComment ref="A97" dT="2024-02-09T19:40:40.16" personId="{05BAD208-6DAA-DC4A-9AD2-14A88DDEBE71}" id="{EE6BE5C2-B2B3-DC44-A42D-26446A2BDEFC}">
    <text>Hypothèse: Durée de vie d’environ 5 ans</text>
  </threadedComment>
</ThreadedComments>
</file>

<file path=xl/threadedComments/threadedComment3.xml><?xml version="1.0" encoding="utf-8"?>
<ThreadedComments xmlns="http://schemas.microsoft.com/office/spreadsheetml/2018/threadedcomments" xmlns:x="http://schemas.openxmlformats.org/spreadsheetml/2006/main">
  <threadedComment ref="A3" dT="2024-02-10T00:18:16.56" personId="{05BAD208-6DAA-DC4A-9AD2-14A88DDEBE71}" id="{A892AFDD-A011-1E40-87D4-CC82FD104374}">
    <text xml:space="preserve">Hypothèse: Durée de vie de 5 ans </text>
  </threadedComment>
  <threadedComment ref="A4" dT="2024-02-10T00:19:34.31" personId="{05BAD208-6DAA-DC4A-9AD2-14A88DDEBE71}" id="{140C78FD-A3F3-2543-94EC-FAB5CDC55239}">
    <text>Hypothèse: 74 à 100 jours d’utilisation</text>
  </threadedComment>
  <threadedComment ref="A5" dT="2024-02-10T00:23:36.50" personId="{05BAD208-6DAA-DC4A-9AD2-14A88DDEBE71}" id="{8DF4B95D-A5B3-5948-8326-1C1025A0AFFB}">
    <text xml:space="preserve">Hypothèse: Durée de vie basée sur d'environ 14 ans basé, environ 3-4h de navigation par sortie </text>
  </threadedComment>
  <threadedComment ref="A6" dT="2024-02-10T00:26:13.11" personId="{05BAD208-6DAA-DC4A-9AD2-14A88DDEBE71}" id="{86013342-F5D6-EC4E-923E-B22F7EC3AD8F}">
    <text>Hypothèse: Durée de vie de 5 ans selon les normes de sécurité, il faut changer son casque chaque 5 ans</text>
  </threadedComment>
  <threadedComment ref="A7" dT="2024-02-10T00:56:37.14" personId="{05BAD208-6DAA-DC4A-9AD2-14A88DDEBE71}" id="{96F88B84-FB58-9B4F-B624-4E9F87442E17}">
    <text>Hypothèse: Durée de vie 12 ans. 1 an renouvellement de la batterie au cours de la durée de vie du produit. Basé sur le scénario suivant: 2500 km par an avec une charge toute les 40km parcouru et une durée de la batterie pleine charge de 400 charge</text>
  </threadedComment>
  <threadedComment ref="A8" dT="2024-02-10T00:59:15.26" personId="{05BAD208-6DAA-DC4A-9AD2-14A88DDEBE71}" id="{50FBD306-10E9-5343-BFF3-9A9E1A08A666}">
    <text>Hypothèse: Hypothèse: Durée entre 5 et 10 ans</text>
  </threadedComment>
  <threadedComment ref="A9" dT="2024-01-15T20:06:43.84" personId="{05BAD208-6DAA-DC4A-9AD2-14A88DDEBE71}" id="{CCCA84C1-12C4-7C41-A010-8E5B92BDB0E4}">
    <text>Pour 1 portion</text>
  </threadedComment>
  <threadedComment ref="A10" dT="2024-01-15T20:06:58.21" personId="{05BAD208-6DAA-DC4A-9AD2-14A88DDEBE71}" id="{BAD88F21-42B4-E14D-A9A6-19E76F5C23D3}">
    <text>Pour 1 portion</text>
  </threadedComment>
  <threadedComment ref="A11" dT="2024-02-10T01:04:16.61" personId="{05BAD208-6DAA-DC4A-9AD2-14A88DDEBE71}" id="{C85139DE-734C-A74E-93E9-C8CE597CFF7B}">
    <text>Hypothèse: Refuge éco-construit à base de bois, paille, pierre et terre - Entrer le nombre de refuges que vous avez</text>
  </threadedComment>
  <threadedComment ref="A13" dT="2024-02-10T01:13:29.36" personId="{05BAD208-6DAA-DC4A-9AD2-14A88DDEBE71}" id="{084A40FC-E6E9-2D46-AA54-CE24DD3D0769}">
    <text xml:space="preserve">Hypothèse: Générique, durée de vie d'environ de 5 ans </text>
  </threadedComment>
  <threadedComment ref="A14" dT="2024-02-10T01:16:16.49" personId="{05BAD208-6DAA-DC4A-9AD2-14A88DDEBE71}" id="{6FABE610-80F4-C442-95F1-6EB0858601DA}">
    <text>Hypothèse: Durée de vie de plus de 20 ans si bien entretenue</text>
  </threadedComment>
  <threadedComment ref="A15" dT="2024-02-10T01:17:05.33" personId="{05BAD208-6DAA-DC4A-9AD2-14A88DDEBE71}" id="{28674A15-8215-9941-B565-7219AF0F6AFB}">
    <text>Hypothèse: Durée de vie de 5 ans environ</text>
  </threadedComment>
  <threadedComment ref="A16" dT="2024-02-10T01:19:59.81" personId="{05BAD208-6DAA-DC4A-9AD2-14A88DDEBE71}" id="{F335985B-558F-BE4E-B5AF-88914BF79C62}">
    <text xml:space="preserve">Hypothèse: Durée de vie entre 7 et 10 ans </text>
  </threadedComment>
  <threadedComment ref="A17" dT="2024-02-10T01:21:46.03" personId="{05BAD208-6DAA-DC4A-9AD2-14A88DDEBE71}" id="{E11B0309-7ABA-EF4F-B71B-F49FC94C2C46}">
    <text>Hypothèse: Hypothèse: Durée de vie entre 7 et 10 ans </text>
  </threadedComment>
  <threadedComment ref="A18" dT="2024-02-10T01:26:15.00" personId="{05BAD208-6DAA-DC4A-9AD2-14A88DDEBE71}" id="{B29DBC34-49AD-6C40-9D9F-A409673E6745}">
    <text>hypothèse: Durée de vie d'environ 10 ans</text>
  </threadedComment>
  <threadedComment ref="A19" dT="2024-02-10T01:28:12.04" personId="{05BAD208-6DAA-DC4A-9AD2-14A88DDEBE71}" id="{FAD085DD-878A-9C4E-B3A0-3E734C154DAF}">
    <text>Hypothèse: Durée de vie entre 7 et 10 ans</text>
  </threadedComment>
</ThreadedComments>
</file>

<file path=xl/threadedComments/threadedComment4.xml><?xml version="1.0" encoding="utf-8"?>
<ThreadedComments xmlns="http://schemas.microsoft.com/office/spreadsheetml/2018/threadedcomments" xmlns:x="http://schemas.openxmlformats.org/spreadsheetml/2006/main">
  <threadedComment ref="A3" dT="2024-02-09T19:49:32.49" personId="{05BAD208-6DAA-DC4A-9AD2-14A88DDEBE71}" id="{FB4455D0-C7BB-974D-B62D-83E5F244A22B}">
    <text>Il est difficile d’estimer la durée de vie moyenne d’une assiette</text>
  </threadedComment>
  <threadedComment ref="A4" dT="2024-02-09T19:49:46.44" personId="{05BAD208-6DAA-DC4A-9AD2-14A88DDEBE71}" id="{E2429EB0-DDCA-704A-9177-96DBDDC51C62}">
    <text>Il est difficile d’estimer la durée de vie moyenne d’un verre</text>
  </threadedComment>
  <threadedComment ref="A5" dT="2024-02-09T19:50:07.36" personId="{05BAD208-6DAA-DC4A-9AD2-14A88DDEBE71}" id="{BA60C6C0-CA2A-DC43-A1AD-742F3ACEE60B}">
    <text>Il est difficile d’estimer la durée de vie moyenne d’ustensiles</text>
  </threadedComment>
  <threadedComment ref="A6" dT="2024-02-09T19:51:03.89" personId="{05BAD208-6DAA-DC4A-9AD2-14A88DDEBE71}" id="{0D879B78-83FC-1346-AE5E-F56D01623DA2}">
    <text>Hypothèse: Durée de vie d’environ 5 ans</text>
  </threadedComment>
  <threadedComment ref="A7" dT="2024-02-09T19:52:43.56" personId="{05BAD208-6DAA-DC4A-9AD2-14A88DDEBE71}" id="{5DACE37F-3F9D-5742-9E2E-265E108F4DD5}">
    <text xml:space="preserve">Hypothèse: Durée de vie d’environ 15 ans </text>
  </threadedComment>
  <threadedComment ref="A8" dT="2024-02-09T20:16:44.56" personId="{05BAD208-6DAA-DC4A-9AD2-14A88DDEBE71}" id="{BB360526-4E84-ED49-B0AE-F944E40D468D}">
    <text xml:space="preserve">Hypothèse: Durée de vie environ 15 ans </text>
  </threadedComment>
  <threadedComment ref="A9" dT="2024-02-09T20:16:54.69" personId="{05BAD208-6DAA-DC4A-9AD2-14A88DDEBE71}" id="{FB139C46-A1AB-DB49-B184-922859AF4586}">
    <text xml:space="preserve">Hypothèse: Durée de vie environ 15 ans </text>
  </threadedComment>
  <threadedComment ref="A10" dT="2024-02-09T20:17:04.46" personId="{05BAD208-6DAA-DC4A-9AD2-14A88DDEBE71}" id="{D1E3DE5D-63BD-F94E-B057-910563C3D12C}">
    <text xml:space="preserve">Hypothèse: Durée de vie environ 15 ans </text>
  </threadedComment>
  <threadedComment ref="A11" dT="2024-02-09T20:17:26.11" personId="{05BAD208-6DAA-DC4A-9AD2-14A88DDEBE71}" id="{EDABE9A3-76B3-E34D-B30E-9974DD9DB369}">
    <text xml:space="preserve">Hypothèse: Durée de vie environ 15 ans </text>
  </threadedComment>
  <threadedComment ref="A12" dT="2024-02-09T20:17:38.01" personId="{05BAD208-6DAA-DC4A-9AD2-14A88DDEBE71}" id="{E7C8ADDD-1DE4-324F-A947-6BC2B6A7FB25}">
    <text xml:space="preserve">Hypothèse: Durée de vie environ 15 ans </text>
  </threadedComment>
</ThreadedComments>
</file>

<file path=xl/threadedComments/threadedComment5.xml><?xml version="1.0" encoding="utf-8"?>
<ThreadedComments xmlns="http://schemas.microsoft.com/office/spreadsheetml/2018/threadedcomments" xmlns:x="http://schemas.openxmlformats.org/spreadsheetml/2006/main">
  <threadedComment ref="A3" dT="2024-02-09T21:17:22.78" personId="{05BAD208-6DAA-DC4A-9AD2-14A88DDEBE71}" id="{8315063F-EB52-3C4C-BE54-95D4889F2502}">
    <text>Hypothèse: Durée de vie de 5 à 15 ans</text>
  </threadedComment>
  <threadedComment ref="A4" dT="2024-02-09T21:20:03.27" personId="{05BAD208-6DAA-DC4A-9AD2-14A88DDEBE71}" id="{C341D358-8324-3848-BF46-A9E04C4307A0}">
    <text>Hypothèse de départ: Durée de vie de 10 ans</text>
  </threadedComment>
  <threadedComment ref="A5" dT="2024-02-09T21:20:12.10" personId="{05BAD208-6DAA-DC4A-9AD2-14A88DDEBE71}" id="{35F06624-F527-384F-BCFA-2418B9099377}">
    <text>Hypothèse: Durée de vie de 5 à 15 ans</text>
  </threadedComment>
  <threadedComment ref="A6" dT="2024-02-09T21:21:29.30" personId="{05BAD208-6DAA-DC4A-9AD2-14A88DDEBE71}" id="{539CF0AF-A37F-EA4B-B614-F1EE99F76783}">
    <text xml:space="preserve">Hypothèse: Durée de vie entre 8 et 10 ans </text>
  </threadedComment>
  <threadedComment ref="A7" dT="2024-02-09T21:23:10.82" personId="{05BAD208-6DAA-DC4A-9AD2-14A88DDEBE71}" id="{2BBF11C0-F42D-7046-BC37-2F4C9D6B5C17}">
    <text>Hypothèse: Durée de vie entre 15 à 20 ans</text>
  </threadedComment>
  <threadedComment ref="A8" dT="2024-02-09T21:26:32.38" personId="{05BAD208-6DAA-DC4A-9AD2-14A88DDEBE71}" id="{A794F399-2735-8944-8621-1843F6E2B9C6}">
    <text xml:space="preserve">Hypothèse de départ: Durée de vie entre 8 et 10 ans </text>
  </threadedComment>
  <threadedComment ref="A9" dT="2024-02-09T21:26:05.51" personId="{05BAD208-6DAA-DC4A-9AD2-14A88DDEBE71}" id="{FAB48342-14C9-2F43-99B1-47B46D559D5D}">
    <text>Hypothèse de départ: Durée de vie de 5 ans</text>
  </threadedComment>
  <threadedComment ref="A10" dT="2024-02-09T21:27:15.31" personId="{05BAD208-6DAA-DC4A-9AD2-14A88DDEBE71}" id="{DE43A70C-CA83-BE4E-99D4-27C1DB5B9A93}">
    <text xml:space="preserve">Hypothèse de départ: Durée de vie de 5 ans </text>
  </threadedComment>
  <threadedComment ref="A11" dT="2024-02-09T21:29:02.03" personId="{05BAD208-6DAA-DC4A-9AD2-14A88DDEBE71}" id="{5D2268D5-09C5-7A43-8621-FB32D10CA516}">
    <text>Hypothèse: Durée de vie entre 15 à 20 ans</text>
  </threadedComment>
  <threadedComment ref="A12" dT="2024-02-09T21:31:17.21" personId="{05BAD208-6DAA-DC4A-9AD2-14A88DDEBE71}" id="{5EA80927-0B2E-6747-8318-A121C97A5A48}">
    <text>Hypothèse: Difficile de déterminer la durée de vie de cet item</text>
  </threadedComment>
  <threadedComment ref="A13" dT="2024-02-09T21:31:25.69" personId="{05BAD208-6DAA-DC4A-9AD2-14A88DDEBE71}" id="{DDA1F302-ABF7-724B-A0B6-257424B0053E}">
    <text>Hypothèse: Difficile de déterminer la durée de vie de cet item</text>
  </threadedComment>
  <threadedComment ref="A14" dT="2024-02-09T21:31:34.08" personId="{05BAD208-6DAA-DC4A-9AD2-14A88DDEBE71}" id="{1F4B694A-2393-ED41-AEA4-DB67937E756E}">
    <text>Hypothèse: Difficile de déterminer la durée de vie de cet item</text>
  </threadedComment>
  <threadedComment ref="A15" dT="2024-02-09T21:31:44.46" personId="{05BAD208-6DAA-DC4A-9AD2-14A88DDEBE71}" id="{600CC421-4C91-2B4F-8F56-EFBF7AC6A302}">
    <text>Hypothèse: Difficile de déterminer la durée de vie de cet item</text>
  </threadedComment>
  <threadedComment ref="A16" dT="2024-02-09T21:33:10.53" personId="{05BAD208-6DAA-DC4A-9AD2-14A88DDEBE71}" id="{72F014DA-11B0-EE44-943D-8DCDCD936672}">
    <text>Hypothèse: Durée de vie entre 15 à 20 ans</text>
  </threadedComment>
  <threadedComment ref="A17" dT="2024-02-09T21:33:17.84" personId="{05BAD208-6DAA-DC4A-9AD2-14A88DDEBE71}" id="{C4C81206-8371-284F-916C-8F2E6CEAD37D}">
    <text>Hypothèse: Durée de vie entre 15 à 20 ans</text>
  </threadedComment>
  <threadedComment ref="A18" dT="2024-02-09T21:33:26.70" personId="{05BAD208-6DAA-DC4A-9AD2-14A88DDEBE71}" id="{1E99F2FA-3F25-2343-B600-17582E5E879C}">
    <text>Hypothèse: Durée de vie entre 15 à 20 ans</text>
  </threadedComment>
  <threadedComment ref="A19" dT="2024-02-09T21:34:52.20" personId="{05BAD208-6DAA-DC4A-9AD2-14A88DDEBE71}" id="{BC690135-5A46-ED40-A1E3-B5438B670A09}">
    <text>Hypothèse: Durée de vie de maximum 30 ans</text>
  </threadedComment>
  <threadedComment ref="A20" dT="2024-02-09T21:34:59.96" personId="{05BAD208-6DAA-DC4A-9AD2-14A88DDEBE71}" id="{A41311A1-79C9-6541-9348-CBAF11C24746}">
    <text>Hypothèse: Durée de vie de maximum 30 ans</text>
  </threadedComment>
</ThreadedComments>
</file>

<file path=xl/threadedComments/threadedComment6.xml><?xml version="1.0" encoding="utf-8"?>
<ThreadedComments xmlns="http://schemas.microsoft.com/office/spreadsheetml/2018/threadedcomments" xmlns:x="http://schemas.openxmlformats.org/spreadsheetml/2006/main">
  <threadedComment ref="A86" dT="2024-04-02T19:48:04.01" personId="{05BAD208-6DAA-DC4A-9AD2-14A88DDEBE71}" id="{F10C5D98-7C99-454B-ABD7-CD77756D412F}">
    <text>EPA - normes de vérificationISO-14064</text>
  </threadedComment>
  <threadedComment ref="C91" dT="2024-02-26T22:16:59.25" personId="{93CCD387-619A-4F1D-A1D6-1FD2D9618F95}" id="{BA869D05-DDCB-4C20-9562-C183201C977F}">
    <text>Hypothèse de 2 par véhicule</text>
  </threadedComment>
  <threadedComment ref="C94" dT="2022-05-18T18:26:56.58" personId="{7FD44296-24D3-1D4D-BEFD-4BA170EBC2BB}" id="{66F0BA46-7054-3D40-A926-F1DA9A594623}">
    <text>augmentation de 10% de consommation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microsoft.com/office/2017/10/relationships/threadedComment" Target="../threadedComments/threadedComment5.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8" Type="http://schemas.openxmlformats.org/officeDocument/2006/relationships/vmlDrawing" Target="../drawings/vmlDrawing6.vml"/><Relationship Id="rId3" Type="http://schemas.openxmlformats.org/officeDocument/2006/relationships/hyperlink" Target="https://can01.safelinks.protection.outlook.com/?url=https%3A%2F%2Fwww.legisquebec.gouv.qc.ca%2Ffr%2Fdocument%2Frc%2FQ-2%2C%2520r.%252015&amp;data=05%7C02%7Cybenbelaid%40etu.uqac.ca%7C82af8c63f39f40aaec3708dc0e2a327b%7Cc97978b1bd4c44b59bbb20215efdf611%7C0%7C0%7C638400821605827707%7CUnknown%7CTWFpbGZsb3d8eyJWIjoiMC4wLjAwMDAiLCJQIjoiV2luMzIiLCJBTiI6Ik1haWwiLCJXVCI6Mn0%3D%7C3000%7C%7C%7C&amp;sdata=lL5%2Bw2gdQ38ZkaFmqKkkltJkKzbTiJ1IhEooZKcJ8kw%3D&amp;reserved=0" TargetMode="External"/><Relationship Id="rId7" Type="http://schemas.openxmlformats.org/officeDocument/2006/relationships/hyperlink" Target="https://greenspector.com/fr/quelle-application-mobile-de-visioconference-pour-reduire-votre-impact-edition-2021/" TargetMode="External"/><Relationship Id="rId2" Type="http://schemas.openxmlformats.org/officeDocument/2006/relationships/hyperlink" Target="https://bilans-ges.ademe.fr/documentation/UPLOAD_DOC_FR/index.htm?prg.htm" TargetMode="External"/><Relationship Id="rId1" Type="http://schemas.openxmlformats.org/officeDocument/2006/relationships/hyperlink" Target="https://www.anses.fr/fr/system/files/NUT2014SA0234Ra.pdf" TargetMode="External"/><Relationship Id="rId6" Type="http://schemas.openxmlformats.org/officeDocument/2006/relationships/hyperlink" Target="https://c.environmentalpaper.org/individual.html" TargetMode="External"/><Relationship Id="rId5" Type="http://schemas.openxmlformats.org/officeDocument/2006/relationships/hyperlink" Target="https://c.environmentalpaper.org/individual.html" TargetMode="External"/><Relationship Id="rId10" Type="http://schemas.microsoft.com/office/2017/10/relationships/threadedComment" Target="../threadedComments/threadedComment6.xml"/><Relationship Id="rId4" Type="http://schemas.openxmlformats.org/officeDocument/2006/relationships/hyperlink" Target="https://coalitionclimatmtl.org/wp-content/uploads/Test-climat-REM.pdf" TargetMode="External"/><Relationship Id="rId9"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C44E4-FAF8-8F49-A395-6E898A91B6A4}">
  <dimension ref="A1"/>
  <sheetViews>
    <sheetView tabSelected="1" workbookViewId="0">
      <selection sqref="A1:XFD1048576"/>
    </sheetView>
  </sheetViews>
  <sheetFormatPr baseColWidth="10" defaultRowHeight="16" x14ac:dyDescent="0.2"/>
  <cols>
    <col min="1" max="1" width="18.83203125" bestFit="1" customWidth="1"/>
    <col min="2" max="2" width="45.5" customWidth="1"/>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C5382-D652-C746-A35A-0E40707AE7DD}">
  <sheetPr>
    <tabColor theme="7"/>
  </sheetPr>
  <dimension ref="A1:F15"/>
  <sheetViews>
    <sheetView workbookViewId="0">
      <selection activeCell="G26" sqref="G26"/>
    </sheetView>
  </sheetViews>
  <sheetFormatPr baseColWidth="10" defaultRowHeight="16" x14ac:dyDescent="0.2"/>
  <cols>
    <col min="1" max="1" width="17.6640625" customWidth="1"/>
  </cols>
  <sheetData>
    <row r="1" spans="1:6" ht="28" customHeight="1" x14ac:dyDescent="0.2">
      <c r="A1" s="235" t="s">
        <v>4</v>
      </c>
      <c r="B1" s="235"/>
      <c r="C1" s="235"/>
      <c r="D1" s="235"/>
      <c r="E1" s="235"/>
    </row>
    <row r="2" spans="1:6" ht="17" thickBot="1" x14ac:dyDescent="0.25">
      <c r="A2" s="1" t="s">
        <v>0</v>
      </c>
      <c r="B2" s="2"/>
      <c r="C2" s="2"/>
      <c r="D2" s="2"/>
    </row>
    <row r="3" spans="1:6" x14ac:dyDescent="0.2">
      <c r="A3" s="3"/>
      <c r="B3" s="3"/>
      <c r="C3" s="3"/>
      <c r="D3" s="3"/>
    </row>
    <row r="4" spans="1:6" x14ac:dyDescent="0.2">
      <c r="A4" s="4" t="s">
        <v>1</v>
      </c>
      <c r="B4" s="3"/>
      <c r="C4" s="3"/>
      <c r="D4" s="3"/>
    </row>
    <row r="5" spans="1:6" x14ac:dyDescent="0.2">
      <c r="A5" s="3"/>
      <c r="B5" s="3"/>
      <c r="C5" s="3"/>
      <c r="D5" s="3"/>
    </row>
    <row r="6" spans="1:6" x14ac:dyDescent="0.2">
      <c r="A6" s="4" t="s">
        <v>2</v>
      </c>
      <c r="B6" s="3"/>
      <c r="C6" s="3" t="s">
        <v>3</v>
      </c>
      <c r="D6" s="3"/>
    </row>
    <row r="8" spans="1:6" ht="29" customHeight="1" x14ac:dyDescent="0.2">
      <c r="A8" s="236" t="s">
        <v>8</v>
      </c>
      <c r="B8" s="236"/>
      <c r="C8" s="236"/>
      <c r="D8" s="236"/>
      <c r="E8" s="236"/>
    </row>
    <row r="9" spans="1:6" ht="17" thickBot="1" x14ac:dyDescent="0.25">
      <c r="A9" s="1" t="s">
        <v>0</v>
      </c>
      <c r="B9" s="2"/>
      <c r="C9" s="2"/>
      <c r="D9" s="2"/>
      <c r="E9" s="3"/>
    </row>
    <row r="10" spans="1:6" x14ac:dyDescent="0.2">
      <c r="A10" s="3"/>
      <c r="B10" s="3"/>
      <c r="C10" s="3"/>
      <c r="D10" s="3"/>
      <c r="E10" s="3"/>
    </row>
    <row r="11" spans="1:6" x14ac:dyDescent="0.2">
      <c r="A11" s="4" t="s">
        <v>1</v>
      </c>
      <c r="B11" s="3"/>
      <c r="C11" s="3"/>
      <c r="D11" s="3"/>
      <c r="E11" s="3"/>
    </row>
    <row r="12" spans="1:6" x14ac:dyDescent="0.2">
      <c r="A12" s="237" t="s">
        <v>566</v>
      </c>
      <c r="B12" s="237"/>
      <c r="C12" s="237"/>
      <c r="D12" s="237"/>
      <c r="E12" s="237"/>
    </row>
    <row r="13" spans="1:6" ht="23" customHeight="1" x14ac:dyDescent="0.2">
      <c r="A13" s="206" t="s">
        <v>2</v>
      </c>
      <c r="B13" s="3"/>
      <c r="C13" s="3" t="s">
        <v>5</v>
      </c>
      <c r="D13" s="3"/>
      <c r="E13" s="3"/>
    </row>
    <row r="14" spans="1:6" x14ac:dyDescent="0.2">
      <c r="A14" s="4" t="s">
        <v>7</v>
      </c>
      <c r="B14" s="3"/>
      <c r="C14" s="3" t="s">
        <v>6</v>
      </c>
      <c r="D14" s="3"/>
      <c r="E14" s="3"/>
      <c r="F14" s="164"/>
    </row>
    <row r="15" spans="1:6" x14ac:dyDescent="0.2">
      <c r="A15" s="3"/>
      <c r="B15" s="3"/>
      <c r="C15" s="3"/>
      <c r="D15" s="3"/>
      <c r="E15" s="3"/>
    </row>
  </sheetData>
  <sheetProtection algorithmName="SHA-512" hashValue="shN43AJ+prbXDD0mc7NpAG8J+OqFJhDdRiYyN+c1VznRpJsoJMasw4t/YmVVw19XvKi9Q9m0VAXs2kX6Kjy2IQ==" saltValue="FWdcRI2c5SSY9ToHYN/pHA==" spinCount="100000" sheet="1" objects="1" scenarios="1"/>
  <mergeCells count="3">
    <mergeCell ref="A1:E1"/>
    <mergeCell ref="A8:E8"/>
    <mergeCell ref="A12:E12"/>
  </mergeCells>
  <conditionalFormatting sqref="B4">
    <cfRule type="containsBlanks" dxfId="15" priority="4">
      <formula>LEN(TRIM(B4))=0</formula>
    </cfRule>
  </conditionalFormatting>
  <conditionalFormatting sqref="B6">
    <cfRule type="containsBlanks" dxfId="14" priority="3">
      <formula>LEN(TRIM(B6))=0</formula>
    </cfRule>
  </conditionalFormatting>
  <conditionalFormatting sqref="B11">
    <cfRule type="containsBlanks" dxfId="13" priority="2">
      <formula>LEN(TRIM(B11))=0</formula>
    </cfRule>
  </conditionalFormatting>
  <conditionalFormatting sqref="B13:B14">
    <cfRule type="containsBlanks" dxfId="12" priority="1">
      <formula>LEN(TRIM(B13))=0</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D98B5B-1374-FA44-B67C-F2AA2A1D750B}">
  <sheetPr>
    <tabColor rgb="FFFF0000"/>
  </sheetPr>
  <dimension ref="F5:G41"/>
  <sheetViews>
    <sheetView topLeftCell="A6" workbookViewId="0">
      <selection activeCell="K22" sqref="K22"/>
    </sheetView>
  </sheetViews>
  <sheetFormatPr baseColWidth="10" defaultRowHeight="16" x14ac:dyDescent="0.2"/>
  <cols>
    <col min="6" max="6" width="59" customWidth="1"/>
    <col min="7" max="7" width="63.83203125" customWidth="1"/>
  </cols>
  <sheetData>
    <row r="5" spans="6:7" ht="22" thickBot="1" x14ac:dyDescent="0.3">
      <c r="F5" s="240" t="s">
        <v>432</v>
      </c>
      <c r="G5" s="240"/>
    </row>
    <row r="6" spans="6:7" ht="26" thickBot="1" x14ac:dyDescent="0.25">
      <c r="F6" s="94" t="s">
        <v>221</v>
      </c>
      <c r="G6" s="95" t="s">
        <v>239</v>
      </c>
    </row>
    <row r="7" spans="6:7" ht="22" thickBot="1" x14ac:dyDescent="0.3">
      <c r="F7" s="97" t="s">
        <v>185</v>
      </c>
      <c r="G7" s="96">
        <f>SUM(G8:G10)</f>
        <v>0</v>
      </c>
    </row>
    <row r="8" spans="6:7" ht="21" x14ac:dyDescent="0.25">
      <c r="F8" s="32" t="s">
        <v>222</v>
      </c>
      <c r="G8" s="33">
        <f>SUM('Calculateur Général'!H5:H11)</f>
        <v>0</v>
      </c>
    </row>
    <row r="9" spans="6:7" ht="21" x14ac:dyDescent="0.25">
      <c r="F9" s="32" t="s">
        <v>9</v>
      </c>
      <c r="G9" s="33">
        <f>SUM('Calculateur Général'!H13:H23)</f>
        <v>0</v>
      </c>
    </row>
    <row r="10" spans="6:7" ht="21" x14ac:dyDescent="0.25">
      <c r="F10" s="32" t="s">
        <v>516</v>
      </c>
      <c r="G10" s="33">
        <f>'Calculateur Général'!H27+'Calculateur Général'!H28+'Calculateur Général'!H30</f>
        <v>0</v>
      </c>
    </row>
    <row r="11" spans="6:7" ht="22" thickBot="1" x14ac:dyDescent="0.3">
      <c r="F11" s="98"/>
      <c r="G11" s="33"/>
    </row>
    <row r="12" spans="6:7" ht="22" thickBot="1" x14ac:dyDescent="0.3">
      <c r="F12" s="34" t="s">
        <v>207</v>
      </c>
      <c r="G12" s="35">
        <f>G13+G14</f>
        <v>0</v>
      </c>
    </row>
    <row r="13" spans="6:7" ht="21" x14ac:dyDescent="0.25">
      <c r="F13" s="32" t="s">
        <v>79</v>
      </c>
      <c r="G13" s="117">
        <f>'Calculateur Général'!H35</f>
        <v>0</v>
      </c>
    </row>
    <row r="14" spans="6:7" ht="21" x14ac:dyDescent="0.25">
      <c r="F14" s="32" t="s">
        <v>223</v>
      </c>
      <c r="G14" s="33">
        <f>SUM('Calculateur Général'!H36:H37)</f>
        <v>0</v>
      </c>
    </row>
    <row r="15" spans="6:7" ht="17" thickBot="1" x14ac:dyDescent="0.25">
      <c r="F15" s="51"/>
      <c r="G15" s="13"/>
    </row>
    <row r="16" spans="6:7" ht="22" thickBot="1" x14ac:dyDescent="0.3">
      <c r="F16" s="36" t="s">
        <v>213</v>
      </c>
      <c r="G16" s="37">
        <f>SUM(G19:G21,G23:G30,G33,G36,G39)</f>
        <v>0</v>
      </c>
    </row>
    <row r="17" spans="6:7" ht="22" thickBot="1" x14ac:dyDescent="0.3">
      <c r="F17" s="238" t="s">
        <v>569</v>
      </c>
      <c r="G17" s="239"/>
    </row>
    <row r="18" spans="6:7" ht="21" x14ac:dyDescent="0.25">
      <c r="F18" s="210"/>
      <c r="G18" s="211"/>
    </row>
    <row r="19" spans="6:7" ht="21" x14ac:dyDescent="0.25">
      <c r="F19" s="32" t="s">
        <v>570</v>
      </c>
      <c r="G19" s="33">
        <f>IF(SUM('Calculateur Général'!M34:M36) &gt; 0, SUM('Calculateur Général'!M34:M36), SUM('Calculateur Général'!AJ40:AJ52))</f>
        <v>0</v>
      </c>
    </row>
    <row r="20" spans="6:7" ht="21" x14ac:dyDescent="0.25">
      <c r="F20" s="32" t="s">
        <v>571</v>
      </c>
      <c r="G20" s="33" cm="1">
        <f t="array" ref="G20">SUM(IF(('Calculateur Général'!V40:V190="automobile")+( 'Calculateur Général'!V40:V190="automobile électrique") +( 'Calculateur Général'!V40:V190="automobile hybride"), 'Calculateur Général'!AB40:AB190, 'Calculateur Général'!AA40:AA190))</f>
        <v>0</v>
      </c>
    </row>
    <row r="21" spans="6:7" ht="22" thickBot="1" x14ac:dyDescent="0.3">
      <c r="F21" s="32" t="s">
        <v>572</v>
      </c>
      <c r="G21" s="99" cm="1">
        <f t="array" ref="G21">SUM(IF(('Calculateur Général'!L41:L194="automobile")+('Calculateur Général'!L41:L194="automobile électrique") +('Calculateur Général'!L41:L194="automobile hybride"),'Calculateur Général'!R41:R194, 'Calculateur Général'!Q41:Q194))</f>
        <v>0</v>
      </c>
    </row>
    <row r="22" spans="6:7" ht="22" thickBot="1" x14ac:dyDescent="0.3">
      <c r="F22" s="241" t="s">
        <v>573</v>
      </c>
      <c r="G22" s="242"/>
    </row>
    <row r="23" spans="6:7" ht="21" x14ac:dyDescent="0.25">
      <c r="F23" s="212" t="s">
        <v>224</v>
      </c>
      <c r="G23" s="117">
        <f>SUM('Calculateur Général'!H44:H47)</f>
        <v>0</v>
      </c>
    </row>
    <row r="24" spans="6:7" ht="21" x14ac:dyDescent="0.25">
      <c r="F24" s="32" t="s">
        <v>453</v>
      </c>
      <c r="G24" s="33">
        <f>SUM('Calculateur Général'!H50:H52)</f>
        <v>0</v>
      </c>
    </row>
    <row r="25" spans="6:7" ht="21" x14ac:dyDescent="0.25">
      <c r="F25" s="32" t="s">
        <v>517</v>
      </c>
      <c r="G25" s="33">
        <f>SUM('Calculateur Général'!H55:H56)</f>
        <v>0</v>
      </c>
    </row>
    <row r="26" spans="6:7" ht="21" x14ac:dyDescent="0.25">
      <c r="F26" s="32" t="s">
        <v>574</v>
      </c>
      <c r="G26" s="33">
        <f>SUM('Calculateur Général'!H62:H69)</f>
        <v>0</v>
      </c>
    </row>
    <row r="27" spans="6:7" ht="21" x14ac:dyDescent="0.25">
      <c r="F27" s="32" t="s">
        <v>460</v>
      </c>
      <c r="G27" s="33">
        <f>SUM('Calculateur Général'!H71:H84)</f>
        <v>0</v>
      </c>
    </row>
    <row r="28" spans="6:7" ht="21" x14ac:dyDescent="0.25">
      <c r="F28" s="32" t="s">
        <v>373</v>
      </c>
      <c r="G28" s="33">
        <f>SUM('Calculateur Général'!H86:H94)</f>
        <v>0</v>
      </c>
    </row>
    <row r="29" spans="6:7" ht="21" x14ac:dyDescent="0.25">
      <c r="F29" s="32" t="s">
        <v>400</v>
      </c>
      <c r="G29" s="33">
        <f>SUM('Calculateur Général'!H96:H97)</f>
        <v>0</v>
      </c>
    </row>
    <row r="30" spans="6:7" ht="21" x14ac:dyDescent="0.25">
      <c r="F30" s="32" t="s">
        <v>575</v>
      </c>
      <c r="G30" s="33">
        <f>SUM('Calculateur Général'!H101:H105,'Calculateur Général'!H107,'Calculateur Général'!H107:H113)</f>
        <v>0</v>
      </c>
    </row>
    <row r="31" spans="6:7" ht="22" thickBot="1" x14ac:dyDescent="0.3">
      <c r="F31" s="32"/>
      <c r="G31" s="14"/>
    </row>
    <row r="32" spans="6:7" ht="22" thickBot="1" x14ac:dyDescent="0.3">
      <c r="F32" s="241" t="s">
        <v>576</v>
      </c>
      <c r="G32" s="242"/>
    </row>
    <row r="33" spans="6:7" ht="21" x14ac:dyDescent="0.25">
      <c r="F33" s="212" t="s">
        <v>577</v>
      </c>
      <c r="G33" s="213">
        <f>SUM('Calculateur Plein Air'!H3:H19)</f>
        <v>0</v>
      </c>
    </row>
    <row r="34" spans="6:7" ht="22" thickBot="1" x14ac:dyDescent="0.3">
      <c r="F34" s="32"/>
      <c r="G34" s="211"/>
    </row>
    <row r="35" spans="6:7" ht="22" thickBot="1" x14ac:dyDescent="0.3">
      <c r="F35" s="241" t="s">
        <v>578</v>
      </c>
      <c r="G35" s="242"/>
    </row>
    <row r="36" spans="6:7" ht="21" x14ac:dyDescent="0.25">
      <c r="F36" s="212" t="s">
        <v>579</v>
      </c>
      <c r="G36" s="213">
        <f>SUM('Calculateur Restaurant'!H3:H12,'Calculateur Restaurant'!H17,'Calculateur Restaurant'!H17:H28,'Calculateur Restaurant'!H31,'Calculateur Restaurant'!H31:H43,'Calculateur Restaurant'!H46,'Calculateur Restaurant'!H46:H52,'Calculateur Restaurant'!H55,'Calculateur Restaurant'!H55:H64,'Calculateur Restaurant'!H67,'Calculateur Restaurant'!H67:H74,'Calculateur Restaurant'!H77,'Calculateur Restaurant'!H77:H79)</f>
        <v>0</v>
      </c>
    </row>
    <row r="37" spans="6:7" ht="22" thickBot="1" x14ac:dyDescent="0.3">
      <c r="F37" s="32"/>
      <c r="G37" s="214"/>
    </row>
    <row r="38" spans="6:7" ht="22" thickBot="1" x14ac:dyDescent="0.3">
      <c r="F38" s="238" t="s">
        <v>580</v>
      </c>
      <c r="G38" s="239"/>
    </row>
    <row r="39" spans="6:7" ht="21" x14ac:dyDescent="0.25">
      <c r="F39" s="215" t="s">
        <v>581</v>
      </c>
      <c r="G39" s="214">
        <f>SUM('Calculateur hébergement'!H3:H20)</f>
        <v>0</v>
      </c>
    </row>
    <row r="40" spans="6:7" ht="17" thickBot="1" x14ac:dyDescent="0.25">
      <c r="F40" s="51"/>
      <c r="G40" s="13"/>
    </row>
    <row r="41" spans="6:7" ht="22" thickBot="1" x14ac:dyDescent="0.3">
      <c r="F41" s="216" t="s">
        <v>582</v>
      </c>
      <c r="G41" s="217">
        <f>SUM(G7,G12,G16,G19,G19:G21,G23,G23:G30,G33,G36,G39)</f>
        <v>0</v>
      </c>
    </row>
  </sheetData>
  <sheetProtection algorithmName="SHA-512" hashValue="N0CGH/c3JtlsQUsKFVIx6oLRAS1gPVePc5477oJTGhHvd8MfGKSuCPBXwhAfDBu0msRFi2h9SNi+CA24jQq/SA==" saltValue="44kvyyp5qH+Jkb+qlH38JA==" spinCount="100000" sheet="1" objects="1" scenarios="1"/>
  <mergeCells count="6">
    <mergeCell ref="F38:G38"/>
    <mergeCell ref="F5:G5"/>
    <mergeCell ref="F17:G17"/>
    <mergeCell ref="F22:G22"/>
    <mergeCell ref="F32:G32"/>
    <mergeCell ref="F35:G3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5DFEE-AAB2-A94D-A788-8E0109B5E63A}">
  <sheetPr>
    <tabColor rgb="FF00B0F0"/>
  </sheetPr>
  <dimension ref="A1:AL195"/>
  <sheetViews>
    <sheetView topLeftCell="S22" workbookViewId="0">
      <selection activeCell="V40" sqref="V40"/>
    </sheetView>
  </sheetViews>
  <sheetFormatPr baseColWidth="10" defaultRowHeight="16" x14ac:dyDescent="0.2"/>
  <cols>
    <col min="1" max="1" width="55" bestFit="1" customWidth="1"/>
    <col min="3" max="3" width="35.5" customWidth="1"/>
    <col min="4" max="4" width="24.1640625" customWidth="1"/>
    <col min="7" max="7" width="10.5" customWidth="1"/>
    <col min="8" max="8" width="30.6640625" customWidth="1"/>
    <col min="9" max="9" width="51" customWidth="1"/>
    <col min="10" max="10" width="47.6640625" customWidth="1"/>
    <col min="11" max="11" width="38.33203125" customWidth="1"/>
    <col min="12" max="12" width="26.33203125" customWidth="1"/>
    <col min="13" max="13" width="18.5" customWidth="1"/>
    <col min="14" max="14" width="2.1640625" hidden="1" customWidth="1"/>
    <col min="17" max="17" width="13.6640625" bestFit="1" customWidth="1"/>
    <col min="18" max="18" width="31.6640625" customWidth="1"/>
    <col min="19" max="19" width="55" customWidth="1"/>
    <col min="20" max="20" width="53.1640625" customWidth="1"/>
    <col min="21" max="21" width="22.33203125" bestFit="1" customWidth="1"/>
    <col min="22" max="22" width="31.83203125" bestFit="1" customWidth="1"/>
    <col min="23" max="23" width="17.83203125" customWidth="1"/>
    <col min="24" max="24" width="6.33203125" hidden="1" customWidth="1"/>
    <col min="28" max="28" width="31.33203125" customWidth="1"/>
    <col min="29" max="29" width="41.83203125" customWidth="1"/>
    <col min="30" max="30" width="35.5" customWidth="1"/>
    <col min="31" max="31" width="22.6640625" customWidth="1"/>
    <col min="32" max="32" width="19.6640625" hidden="1" customWidth="1"/>
    <col min="33" max="33" width="41.1640625" customWidth="1"/>
    <col min="35" max="35" width="19.33203125" customWidth="1"/>
    <col min="36" max="36" width="35.6640625" customWidth="1"/>
    <col min="37" max="37" width="28" hidden="1" customWidth="1"/>
    <col min="38" max="38" width="51.6640625" customWidth="1"/>
  </cols>
  <sheetData>
    <row r="1" spans="1:15" ht="22" thickBot="1" x14ac:dyDescent="0.3">
      <c r="K1" s="245"/>
      <c r="L1" s="245"/>
    </row>
    <row r="2" spans="1:15" ht="37" customHeight="1" thickBot="1" x14ac:dyDescent="0.25">
      <c r="A2" s="15" t="s">
        <v>185</v>
      </c>
      <c r="B2" s="16" t="s">
        <v>186</v>
      </c>
      <c r="C2" s="16"/>
      <c r="D2" s="246" t="s">
        <v>187</v>
      </c>
      <c r="E2" s="246"/>
      <c r="F2" s="246"/>
      <c r="G2" s="246"/>
      <c r="H2" s="17"/>
      <c r="I2" s="171" t="s">
        <v>564</v>
      </c>
      <c r="K2" s="218"/>
      <c r="L2" s="218"/>
    </row>
    <row r="3" spans="1:15" ht="22" customHeight="1" thickBot="1" x14ac:dyDescent="0.25">
      <c r="A3" s="9"/>
      <c r="B3" s="10"/>
      <c r="C3" s="10"/>
      <c r="D3" s="10"/>
      <c r="E3" s="10"/>
      <c r="F3" s="10"/>
      <c r="G3" s="10"/>
      <c r="H3" s="11"/>
      <c r="I3" s="178"/>
      <c r="J3" s="247" t="s">
        <v>583</v>
      </c>
      <c r="K3" s="248"/>
      <c r="L3" s="248"/>
      <c r="M3" s="248"/>
      <c r="N3" s="248"/>
      <c r="O3" s="248"/>
    </row>
    <row r="4" spans="1:15" ht="22" customHeight="1" thickBot="1" x14ac:dyDescent="0.3">
      <c r="A4" s="71" t="s">
        <v>188</v>
      </c>
      <c r="B4" s="55"/>
      <c r="C4" s="55" t="s">
        <v>87</v>
      </c>
      <c r="D4" s="55"/>
      <c r="E4" s="55" t="s">
        <v>217</v>
      </c>
      <c r="F4" s="55" t="s">
        <v>218</v>
      </c>
      <c r="G4" s="55" t="s">
        <v>219</v>
      </c>
      <c r="H4" s="75" t="s">
        <v>216</v>
      </c>
      <c r="I4" s="179"/>
      <c r="J4" s="247"/>
      <c r="K4" s="248"/>
      <c r="L4" s="248"/>
      <c r="M4" s="248"/>
      <c r="N4" s="248"/>
      <c r="O4" s="248"/>
    </row>
    <row r="5" spans="1:15" ht="21" customHeight="1" x14ac:dyDescent="0.25">
      <c r="A5" s="19" t="s">
        <v>189</v>
      </c>
      <c r="B5" s="24"/>
      <c r="C5" s="21" t="s">
        <v>190</v>
      </c>
      <c r="D5" s="21"/>
      <c r="E5" s="72">
        <f>$B5*Références!C13</f>
        <v>0</v>
      </c>
      <c r="F5" s="72">
        <f>$B5*Références!D13</f>
        <v>0</v>
      </c>
      <c r="G5" s="72">
        <f>$B5*Références!E13</f>
        <v>0</v>
      </c>
      <c r="H5" s="74">
        <f>E5+F5*28+G5*265</f>
        <v>0</v>
      </c>
      <c r="I5" s="180"/>
      <c r="J5" s="247"/>
      <c r="K5" s="248"/>
      <c r="L5" s="248"/>
      <c r="M5" s="248"/>
      <c r="N5" s="248"/>
      <c r="O5" s="248"/>
    </row>
    <row r="6" spans="1:15" ht="21" customHeight="1" x14ac:dyDescent="0.25">
      <c r="A6" s="19" t="s">
        <v>191</v>
      </c>
      <c r="B6" s="24"/>
      <c r="C6" s="21" t="s">
        <v>190</v>
      </c>
      <c r="D6" s="21"/>
      <c r="E6" s="72">
        <f>$B6*Références!C10</f>
        <v>0</v>
      </c>
      <c r="F6" s="72">
        <f>$B6*Références!D10</f>
        <v>0</v>
      </c>
      <c r="G6" s="72">
        <f>$B6*Références!E10</f>
        <v>0</v>
      </c>
      <c r="H6" s="74">
        <f>E6+F6*28+G6*265</f>
        <v>0</v>
      </c>
      <c r="I6" s="180"/>
      <c r="J6" s="247"/>
      <c r="K6" s="248"/>
      <c r="L6" s="248"/>
      <c r="M6" s="248"/>
      <c r="N6" s="248"/>
      <c r="O6" s="248"/>
    </row>
    <row r="7" spans="1:15" ht="21" customHeight="1" x14ac:dyDescent="0.25">
      <c r="A7" s="19" t="s">
        <v>192</v>
      </c>
      <c r="B7" s="24"/>
      <c r="C7" s="21" t="s">
        <v>193</v>
      </c>
      <c r="D7" s="21"/>
      <c r="E7" s="72">
        <f>$B7*Références!C17</f>
        <v>0</v>
      </c>
      <c r="F7" s="72">
        <f>$B7*Références!D17</f>
        <v>0</v>
      </c>
      <c r="G7" s="72">
        <f>$B7*Références!E17</f>
        <v>0</v>
      </c>
      <c r="H7" s="74">
        <f>E7+F7*28+G7*265</f>
        <v>0</v>
      </c>
      <c r="I7" s="180"/>
      <c r="J7" s="247"/>
      <c r="K7" s="248"/>
      <c r="L7" s="248"/>
      <c r="M7" s="248"/>
      <c r="N7" s="248"/>
      <c r="O7" s="248"/>
    </row>
    <row r="8" spans="1:15" ht="21" x14ac:dyDescent="0.25">
      <c r="A8" s="19" t="s">
        <v>194</v>
      </c>
      <c r="B8" s="25"/>
      <c r="C8" s="21" t="s">
        <v>195</v>
      </c>
      <c r="D8" s="21"/>
      <c r="E8" s="72">
        <f>$B8*Références!C16</f>
        <v>0</v>
      </c>
      <c r="F8" s="72">
        <f>$B8*Références!D16</f>
        <v>0</v>
      </c>
      <c r="G8" s="72">
        <f>$B8*Références!E16</f>
        <v>0</v>
      </c>
      <c r="H8" s="74">
        <f t="shared" ref="H8:H11" si="0">E8+F8*28+G8*265</f>
        <v>0</v>
      </c>
      <c r="I8" s="180"/>
      <c r="K8" s="219"/>
      <c r="L8" s="126"/>
    </row>
    <row r="9" spans="1:15" ht="21" x14ac:dyDescent="0.25">
      <c r="A9" s="19" t="s">
        <v>196</v>
      </c>
      <c r="B9" s="24"/>
      <c r="C9" s="21" t="s">
        <v>190</v>
      </c>
      <c r="D9" s="21"/>
      <c r="E9" s="72">
        <f>$B9*Références!C18</f>
        <v>0</v>
      </c>
      <c r="F9" s="72">
        <f>$B9*Références!D18</f>
        <v>0</v>
      </c>
      <c r="G9" s="72">
        <f>$B9*Références!E18</f>
        <v>0</v>
      </c>
      <c r="H9" s="74">
        <f t="shared" si="0"/>
        <v>0</v>
      </c>
      <c r="I9" s="180"/>
      <c r="K9" s="116"/>
      <c r="L9" s="126"/>
    </row>
    <row r="10" spans="1:15" ht="21" x14ac:dyDescent="0.25">
      <c r="A10" s="19" t="s">
        <v>338</v>
      </c>
      <c r="B10" s="118"/>
      <c r="C10" s="21" t="s">
        <v>544</v>
      </c>
      <c r="D10" s="21"/>
      <c r="E10" s="72">
        <f>B10*Références!C7</f>
        <v>0</v>
      </c>
      <c r="F10" s="72">
        <f>B10*Références!D7</f>
        <v>0</v>
      </c>
      <c r="G10" s="72">
        <f>B10*Références!E7</f>
        <v>0</v>
      </c>
      <c r="H10" s="74">
        <f t="shared" si="0"/>
        <v>0</v>
      </c>
      <c r="I10" s="180"/>
      <c r="K10" s="116"/>
      <c r="L10" s="126"/>
    </row>
    <row r="11" spans="1:15" ht="20" thickBot="1" x14ac:dyDescent="0.3">
      <c r="A11" s="44" t="s">
        <v>339</v>
      </c>
      <c r="B11" s="119"/>
      <c r="C11" s="21" t="s">
        <v>544</v>
      </c>
      <c r="D11" s="27"/>
      <c r="E11" s="73">
        <f>B11*Références!C8</f>
        <v>0</v>
      </c>
      <c r="F11" s="73">
        <f>B11*Références!D8</f>
        <v>0</v>
      </c>
      <c r="G11" s="73">
        <f>B11*Références!E8</f>
        <v>0</v>
      </c>
      <c r="H11" s="74">
        <f t="shared" si="0"/>
        <v>0</v>
      </c>
      <c r="I11" s="180"/>
    </row>
    <row r="12" spans="1:15" ht="22" thickBot="1" x14ac:dyDescent="0.3">
      <c r="A12" s="76" t="s">
        <v>197</v>
      </c>
      <c r="B12" s="55"/>
      <c r="C12" s="58" t="s">
        <v>87</v>
      </c>
      <c r="D12" s="55"/>
      <c r="E12" s="55" t="s">
        <v>217</v>
      </c>
      <c r="F12" s="55" t="s">
        <v>218</v>
      </c>
      <c r="G12" s="55" t="s">
        <v>219</v>
      </c>
      <c r="H12" s="59" t="s">
        <v>216</v>
      </c>
      <c r="I12" s="172" t="s">
        <v>565</v>
      </c>
      <c r="K12" s="219"/>
      <c r="L12" s="126"/>
    </row>
    <row r="13" spans="1:15" ht="21" x14ac:dyDescent="0.25">
      <c r="A13" s="19" t="s">
        <v>196</v>
      </c>
      <c r="B13" s="28"/>
      <c r="C13" s="21" t="s">
        <v>190</v>
      </c>
      <c r="D13" s="29"/>
      <c r="E13" s="72">
        <f>$B13*Références!C4</f>
        <v>0</v>
      </c>
      <c r="F13" s="72">
        <f>$B13*Références!D4</f>
        <v>0</v>
      </c>
      <c r="G13" s="72">
        <f>$B13*Références!E4</f>
        <v>0</v>
      </c>
      <c r="H13" s="74">
        <f>E13+F13*28+G13*265</f>
        <v>0</v>
      </c>
      <c r="I13" s="181"/>
      <c r="K13" s="116"/>
      <c r="L13" s="126"/>
    </row>
    <row r="14" spans="1:15" ht="21" x14ac:dyDescent="0.25">
      <c r="A14" s="19" t="s">
        <v>198</v>
      </c>
      <c r="B14" s="20"/>
      <c r="C14" s="21" t="s">
        <v>190</v>
      </c>
      <c r="D14" s="21"/>
      <c r="E14" s="72">
        <f>$B14*Références!C2</f>
        <v>0</v>
      </c>
      <c r="F14" s="72">
        <f>$B14*Références!D2</f>
        <v>0</v>
      </c>
      <c r="G14" s="72">
        <f>$B14*Références!E2</f>
        <v>0</v>
      </c>
      <c r="H14" s="74">
        <f>E14+F14*28+G14*265</f>
        <v>0</v>
      </c>
      <c r="I14" s="180"/>
      <c r="K14" s="116"/>
      <c r="L14" s="126"/>
    </row>
    <row r="15" spans="1:15" ht="21" x14ac:dyDescent="0.25">
      <c r="A15" s="19" t="s">
        <v>191</v>
      </c>
      <c r="B15" s="20"/>
      <c r="C15" s="21" t="s">
        <v>190</v>
      </c>
      <c r="D15" s="21"/>
      <c r="E15" s="72">
        <f>$B15*Références!C3</f>
        <v>0</v>
      </c>
      <c r="F15" s="72">
        <f>$B15*Références!D3</f>
        <v>0</v>
      </c>
      <c r="G15" s="72">
        <f>$B15*Références!E3</f>
        <v>0</v>
      </c>
      <c r="H15" s="74">
        <f>E15+F15*28+G15*265</f>
        <v>0</v>
      </c>
      <c r="I15" s="180"/>
      <c r="K15" s="116"/>
      <c r="L15" s="126"/>
    </row>
    <row r="16" spans="1:15" ht="21" x14ac:dyDescent="0.25">
      <c r="A16" s="19" t="s">
        <v>199</v>
      </c>
      <c r="B16" s="49"/>
      <c r="C16" s="21" t="s">
        <v>545</v>
      </c>
      <c r="D16" s="21"/>
      <c r="E16" s="72">
        <v>0</v>
      </c>
      <c r="F16" s="72">
        <v>0</v>
      </c>
      <c r="G16" s="72">
        <v>0</v>
      </c>
      <c r="H16" s="74">
        <f>B16*Références!C92</f>
        <v>0</v>
      </c>
      <c r="I16" s="180"/>
      <c r="K16" s="116"/>
      <c r="L16" s="126"/>
    </row>
    <row r="17" spans="1:37" ht="21" x14ac:dyDescent="0.25">
      <c r="A17" s="19" t="s">
        <v>201</v>
      </c>
      <c r="B17" s="49"/>
      <c r="C17" s="21" t="s">
        <v>545</v>
      </c>
      <c r="D17" s="21"/>
      <c r="E17" s="72">
        <v>0</v>
      </c>
      <c r="F17" s="72">
        <v>0</v>
      </c>
      <c r="G17" s="72">
        <v>0</v>
      </c>
      <c r="H17" s="74">
        <f>B17*Références!C91</f>
        <v>0</v>
      </c>
      <c r="I17" s="180"/>
      <c r="K17" s="116"/>
      <c r="L17" s="126"/>
    </row>
    <row r="18" spans="1:37" ht="21" x14ac:dyDescent="0.25">
      <c r="A18" s="77" t="s">
        <v>326</v>
      </c>
      <c r="B18" s="49"/>
      <c r="C18" s="21" t="s">
        <v>190</v>
      </c>
      <c r="D18" s="21"/>
      <c r="E18" s="72">
        <f>B18*Références!C9</f>
        <v>0</v>
      </c>
      <c r="F18" s="72">
        <f>B18*Références!D9</f>
        <v>0</v>
      </c>
      <c r="G18" s="72">
        <f>B18*Références!E9</f>
        <v>0</v>
      </c>
      <c r="H18" s="74">
        <f>E18+F18*28+G18*265</f>
        <v>0</v>
      </c>
      <c r="I18" s="180"/>
      <c r="K18" s="116"/>
      <c r="L18" s="126"/>
    </row>
    <row r="19" spans="1:37" ht="21" x14ac:dyDescent="0.25">
      <c r="A19" s="249" t="s">
        <v>452</v>
      </c>
      <c r="B19" s="250"/>
      <c r="C19" s="250"/>
      <c r="D19" s="21"/>
      <c r="E19" s="72"/>
      <c r="F19" s="72"/>
      <c r="G19" s="72"/>
      <c r="H19" s="74"/>
      <c r="I19" s="180"/>
      <c r="K19" s="116"/>
      <c r="L19" s="126"/>
    </row>
    <row r="20" spans="1:37" ht="21" x14ac:dyDescent="0.25">
      <c r="A20" s="19" t="s">
        <v>202</v>
      </c>
      <c r="B20" s="28"/>
      <c r="C20" s="21" t="s">
        <v>545</v>
      </c>
      <c r="D20" s="29"/>
      <c r="E20" s="72">
        <v>0</v>
      </c>
      <c r="F20" s="72">
        <v>0</v>
      </c>
      <c r="G20" s="72">
        <v>0</v>
      </c>
      <c r="H20" s="74">
        <f>B20*Références!C90</f>
        <v>0</v>
      </c>
      <c r="I20" s="180"/>
      <c r="K20" s="116"/>
      <c r="L20" s="126"/>
    </row>
    <row r="21" spans="1:37" ht="21" x14ac:dyDescent="0.25">
      <c r="A21" s="19" t="s">
        <v>114</v>
      </c>
      <c r="B21" s="28"/>
      <c r="C21" s="21" t="s">
        <v>545</v>
      </c>
      <c r="D21" s="21"/>
      <c r="E21" s="72">
        <v>0</v>
      </c>
      <c r="F21" s="72">
        <v>0</v>
      </c>
      <c r="G21" s="72">
        <v>0</v>
      </c>
      <c r="H21" s="74">
        <f>B21*Références!C95</f>
        <v>0</v>
      </c>
      <c r="I21" s="180"/>
      <c r="K21" s="116"/>
      <c r="L21" s="126"/>
    </row>
    <row r="22" spans="1:37" ht="21" x14ac:dyDescent="0.25">
      <c r="A22" s="19" t="s">
        <v>203</v>
      </c>
      <c r="B22" s="28"/>
      <c r="C22" s="21" t="s">
        <v>545</v>
      </c>
      <c r="D22" s="21"/>
      <c r="E22" s="72">
        <v>0</v>
      </c>
      <c r="F22" s="72">
        <v>0</v>
      </c>
      <c r="G22" s="72">
        <v>0</v>
      </c>
      <c r="H22" s="74">
        <f>B22*Références!C93</f>
        <v>0</v>
      </c>
      <c r="I22" s="180"/>
      <c r="K22" s="116"/>
      <c r="L22" s="126"/>
    </row>
    <row r="23" spans="1:37" ht="22" thickBot="1" x14ac:dyDescent="0.3">
      <c r="A23" s="44" t="s">
        <v>121</v>
      </c>
      <c r="B23" s="28"/>
      <c r="C23" s="27" t="s">
        <v>545</v>
      </c>
      <c r="D23" s="27"/>
      <c r="E23" s="73">
        <v>0</v>
      </c>
      <c r="F23" s="73">
        <v>0</v>
      </c>
      <c r="G23" s="73">
        <v>0</v>
      </c>
      <c r="H23" s="74">
        <f>B23*Références!C99</f>
        <v>0</v>
      </c>
      <c r="I23" s="182"/>
      <c r="K23" s="116"/>
      <c r="L23" s="126"/>
    </row>
    <row r="24" spans="1:37" ht="22" thickBot="1" x14ac:dyDescent="0.3">
      <c r="A24" s="10"/>
      <c r="B24" s="10"/>
      <c r="C24" s="10"/>
      <c r="D24" s="10"/>
      <c r="E24" s="10"/>
      <c r="F24" s="10"/>
      <c r="G24" s="10"/>
      <c r="H24" s="10"/>
      <c r="K24" s="116"/>
      <c r="L24" s="126"/>
    </row>
    <row r="25" spans="1:37" ht="22" thickBot="1" x14ac:dyDescent="0.3">
      <c r="A25" s="71" t="s">
        <v>204</v>
      </c>
      <c r="B25" s="55"/>
      <c r="C25" s="55" t="s">
        <v>87</v>
      </c>
      <c r="D25" s="55" t="s">
        <v>322</v>
      </c>
      <c r="E25" s="55"/>
      <c r="F25" s="55"/>
      <c r="G25" s="55"/>
      <c r="H25" s="75" t="s">
        <v>216</v>
      </c>
      <c r="I25" s="170" t="s">
        <v>564</v>
      </c>
      <c r="J25" s="51"/>
      <c r="K25" s="116"/>
      <c r="L25" s="126"/>
    </row>
    <row r="26" spans="1:37" ht="19" customHeight="1" x14ac:dyDescent="0.25">
      <c r="A26" s="251" t="s">
        <v>205</v>
      </c>
      <c r="B26" s="252"/>
      <c r="C26" s="252"/>
      <c r="D26" s="252"/>
      <c r="E26" s="252"/>
      <c r="F26" s="252"/>
      <c r="G26" s="252"/>
      <c r="H26" s="253"/>
      <c r="I26" s="183"/>
      <c r="J26" s="254" t="s">
        <v>225</v>
      </c>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5"/>
      <c r="AH26" s="255"/>
      <c r="AI26" s="255"/>
      <c r="AJ26" s="255"/>
      <c r="AK26" s="255"/>
    </row>
    <row r="27" spans="1:37" ht="20" customHeight="1" thickBot="1" x14ac:dyDescent="0.3">
      <c r="A27" s="166" t="s">
        <v>43</v>
      </c>
      <c r="B27" s="23"/>
      <c r="C27" s="21" t="s">
        <v>206</v>
      </c>
      <c r="D27" s="21"/>
      <c r="E27" s="21"/>
      <c r="F27" s="21"/>
      <c r="G27" s="21"/>
      <c r="H27" s="74">
        <f>VLOOKUP(A27,matrix_refri,3,FALSE)*B27/1000000</f>
        <v>0</v>
      </c>
      <c r="I27" s="184"/>
      <c r="J27" s="254"/>
      <c r="K27" s="255"/>
      <c r="L27" s="255"/>
      <c r="M27" s="255"/>
      <c r="N27" s="255"/>
      <c r="O27" s="255"/>
      <c r="P27" s="255"/>
      <c r="Q27" s="255"/>
      <c r="R27" s="255"/>
      <c r="S27" s="255"/>
      <c r="T27" s="255"/>
      <c r="U27" s="255"/>
      <c r="V27" s="255"/>
      <c r="W27" s="255"/>
      <c r="X27" s="255"/>
      <c r="Y27" s="255"/>
      <c r="Z27" s="255"/>
      <c r="AA27" s="255"/>
      <c r="AB27" s="255"/>
      <c r="AC27" s="255"/>
      <c r="AD27" s="255"/>
      <c r="AE27" s="255"/>
      <c r="AF27" s="255"/>
      <c r="AG27" s="255"/>
      <c r="AH27" s="255"/>
      <c r="AI27" s="255"/>
      <c r="AJ27" s="255"/>
      <c r="AK27" s="255"/>
    </row>
    <row r="28" spans="1:37" ht="20" thickBot="1" x14ac:dyDescent="0.3">
      <c r="A28" s="166" t="s">
        <v>62</v>
      </c>
      <c r="B28" s="23"/>
      <c r="C28" s="21" t="s">
        <v>206</v>
      </c>
      <c r="D28" s="21"/>
      <c r="E28" s="21"/>
      <c r="F28" s="21"/>
      <c r="G28" s="21"/>
      <c r="H28" s="74">
        <f>VLOOKUP(A28,matrix_refri,3,FALSE)*B28/1000000</f>
        <v>0</v>
      </c>
      <c r="I28" s="184"/>
      <c r="J28" s="259" t="s">
        <v>431</v>
      </c>
      <c r="K28" s="260"/>
      <c r="L28" s="260"/>
      <c r="M28" s="261"/>
      <c r="O28" s="262" t="s">
        <v>565</v>
      </c>
      <c r="P28" s="263"/>
      <c r="Q28" s="264"/>
      <c r="R28" s="220"/>
    </row>
    <row r="29" spans="1:37" ht="20" thickBot="1" x14ac:dyDescent="0.3">
      <c r="A29" s="268" t="s">
        <v>455</v>
      </c>
      <c r="B29" s="269"/>
      <c r="C29" s="269"/>
      <c r="D29" s="269"/>
      <c r="E29" s="269"/>
      <c r="F29" s="269"/>
      <c r="G29" s="269"/>
      <c r="H29" s="270"/>
      <c r="I29" s="185"/>
      <c r="J29" s="63"/>
      <c r="K29" s="64"/>
      <c r="L29" s="64"/>
      <c r="M29" s="65"/>
      <c r="O29" s="265"/>
      <c r="P29" s="266"/>
      <c r="Q29" s="267"/>
      <c r="R29" s="220"/>
    </row>
    <row r="30" spans="1:37" ht="20" thickBot="1" x14ac:dyDescent="0.3">
      <c r="A30" s="169" t="s">
        <v>318</v>
      </c>
      <c r="B30" s="50"/>
      <c r="C30" s="18" t="s">
        <v>319</v>
      </c>
      <c r="D30" s="119"/>
      <c r="E30" s="27"/>
      <c r="F30" s="27"/>
      <c r="G30" s="27"/>
      <c r="H30" s="78">
        <f>IF(ISBLANK(D30), B30*1300*20*0.2%/1000, B30*D30*1300*20*0.2%/1000)</f>
        <v>0</v>
      </c>
      <c r="I30" s="186"/>
      <c r="J30" s="63"/>
      <c r="K30" s="64"/>
      <c r="L30" s="64"/>
      <c r="M30" s="65"/>
      <c r="O30" s="189"/>
      <c r="P30" s="3"/>
      <c r="Q30" s="190"/>
      <c r="R30" s="3"/>
    </row>
    <row r="31" spans="1:37" ht="20" thickBot="1" x14ac:dyDescent="0.3">
      <c r="J31" s="38"/>
      <c r="K31" s="29"/>
      <c r="L31" s="29"/>
      <c r="M31" s="30"/>
      <c r="O31" s="189"/>
      <c r="P31" s="3"/>
      <c r="Q31" s="190"/>
      <c r="R31" s="3"/>
    </row>
    <row r="32" spans="1:37" ht="34" customHeight="1" thickBot="1" x14ac:dyDescent="0.3">
      <c r="A32" s="79" t="s">
        <v>207</v>
      </c>
      <c r="B32" s="271" t="s">
        <v>208</v>
      </c>
      <c r="C32" s="271"/>
      <c r="D32" s="271" t="s">
        <v>187</v>
      </c>
      <c r="E32" s="271"/>
      <c r="F32" s="271"/>
      <c r="G32" s="271"/>
      <c r="H32" s="80"/>
      <c r="I32" s="173" t="s">
        <v>564</v>
      </c>
      <c r="J32" s="71" t="s">
        <v>226</v>
      </c>
      <c r="K32" s="54"/>
      <c r="L32" s="54" t="s">
        <v>87</v>
      </c>
      <c r="M32" s="75" t="s">
        <v>216</v>
      </c>
      <c r="O32" s="189"/>
      <c r="P32" s="3"/>
      <c r="Q32" s="190"/>
      <c r="R32" s="3"/>
    </row>
    <row r="33" spans="1:38" ht="20" thickBot="1" x14ac:dyDescent="0.3">
      <c r="A33" s="9"/>
      <c r="B33" s="10"/>
      <c r="C33" s="10"/>
      <c r="D33" s="10"/>
      <c r="E33" s="10"/>
      <c r="F33" s="10"/>
      <c r="G33" s="10"/>
      <c r="H33" s="11"/>
      <c r="I33" s="187"/>
      <c r="J33" s="100"/>
      <c r="K33" s="39"/>
      <c r="L33" s="40"/>
      <c r="M33" s="101"/>
      <c r="O33" s="189"/>
      <c r="P33" s="3"/>
      <c r="Q33" s="190"/>
      <c r="R33" s="3"/>
    </row>
    <row r="34" spans="1:38" ht="20" thickBot="1" x14ac:dyDescent="0.3">
      <c r="A34" s="71" t="s">
        <v>209</v>
      </c>
      <c r="B34" s="55"/>
      <c r="C34" s="55" t="s">
        <v>87</v>
      </c>
      <c r="D34" s="55"/>
      <c r="E34" s="55" t="s">
        <v>217</v>
      </c>
      <c r="F34" s="55" t="s">
        <v>218</v>
      </c>
      <c r="G34" s="55" t="s">
        <v>219</v>
      </c>
      <c r="H34" s="59" t="s">
        <v>216</v>
      </c>
      <c r="I34" s="188"/>
      <c r="J34" s="19" t="s">
        <v>588</v>
      </c>
      <c r="K34" s="20"/>
      <c r="L34" s="21" t="s">
        <v>227</v>
      </c>
      <c r="M34" s="74">
        <f>100*Références!F5*K34</f>
        <v>0</v>
      </c>
      <c r="O34" s="189"/>
      <c r="P34" s="3"/>
      <c r="Q34" s="190"/>
      <c r="R34" s="3"/>
      <c r="AD34" s="243" t="s">
        <v>587</v>
      </c>
      <c r="AE34" s="243"/>
      <c r="AF34" s="243"/>
      <c r="AG34" s="243"/>
      <c r="AH34" s="243"/>
      <c r="AI34" s="243"/>
      <c r="AJ34" s="243"/>
      <c r="AK34" s="243"/>
    </row>
    <row r="35" spans="1:38" ht="19" x14ac:dyDescent="0.25">
      <c r="A35" s="19" t="s">
        <v>79</v>
      </c>
      <c r="B35" s="22"/>
      <c r="C35" s="21" t="s">
        <v>210</v>
      </c>
      <c r="D35" s="21"/>
      <c r="E35" s="21"/>
      <c r="F35" s="21"/>
      <c r="G35" s="21"/>
      <c r="H35" s="74">
        <f>B35*Références!C72</f>
        <v>0</v>
      </c>
      <c r="I35" s="184"/>
      <c r="J35" s="19" t="s">
        <v>589</v>
      </c>
      <c r="K35" s="20"/>
      <c r="L35" s="21" t="s">
        <v>227</v>
      </c>
      <c r="M35" s="74">
        <f>800*Références!F5*K35*50%</f>
        <v>0</v>
      </c>
      <c r="O35" s="189"/>
      <c r="P35" s="3"/>
      <c r="Q35" s="190"/>
      <c r="R35" s="3"/>
      <c r="AD35" s="243"/>
      <c r="AE35" s="243"/>
      <c r="AF35" s="243"/>
      <c r="AG35" s="243"/>
      <c r="AH35" s="243"/>
      <c r="AI35" s="243"/>
      <c r="AJ35" s="243"/>
      <c r="AK35" s="243"/>
    </row>
    <row r="36" spans="1:38" ht="20" thickBot="1" x14ac:dyDescent="0.3">
      <c r="A36" s="19" t="s">
        <v>211</v>
      </c>
      <c r="B36" s="23"/>
      <c r="C36" s="21" t="s">
        <v>212</v>
      </c>
      <c r="D36" s="21"/>
      <c r="E36" s="21"/>
      <c r="F36" s="21"/>
      <c r="G36" s="21"/>
      <c r="H36" s="74">
        <f>B36*Références!C73</f>
        <v>0</v>
      </c>
      <c r="I36" s="184"/>
      <c r="J36" s="19" t="s">
        <v>590</v>
      </c>
      <c r="K36" s="20"/>
      <c r="L36" s="21" t="s">
        <v>227</v>
      </c>
      <c r="M36" s="78">
        <f>1500*Références!C87*K36*25%</f>
        <v>0</v>
      </c>
      <c r="O36" s="191"/>
      <c r="P36" s="2"/>
      <c r="Q36" s="192"/>
      <c r="R36" s="3"/>
      <c r="AD36" s="243"/>
      <c r="AE36" s="243"/>
      <c r="AF36" s="243"/>
      <c r="AG36" s="243"/>
      <c r="AH36" s="243"/>
      <c r="AI36" s="243"/>
      <c r="AJ36" s="243"/>
      <c r="AK36" s="243"/>
    </row>
    <row r="37" spans="1:38" ht="20" thickBot="1" x14ac:dyDescent="0.3">
      <c r="A37" s="19" t="s">
        <v>240</v>
      </c>
      <c r="B37" s="23"/>
      <c r="C37" s="21" t="s">
        <v>212</v>
      </c>
      <c r="H37" s="74">
        <f>B37*Références!C74</f>
        <v>0</v>
      </c>
      <c r="I37" s="184"/>
      <c r="J37" s="127"/>
      <c r="K37" s="125"/>
      <c r="L37" s="125"/>
      <c r="M37" s="14"/>
      <c r="O37" s="3"/>
      <c r="P37" s="3"/>
      <c r="Q37" s="3"/>
      <c r="R37" s="3"/>
      <c r="AD37" s="244"/>
      <c r="AE37" s="244"/>
      <c r="AF37" s="244"/>
      <c r="AG37" s="244"/>
      <c r="AH37" s="244"/>
      <c r="AI37" s="244"/>
      <c r="AJ37" s="244"/>
      <c r="AK37" s="244"/>
    </row>
    <row r="38" spans="1:38" ht="20" thickBot="1" x14ac:dyDescent="0.3">
      <c r="A38" s="6"/>
      <c r="B38" s="6"/>
      <c r="C38" s="6"/>
      <c r="D38" s="6"/>
      <c r="E38" s="6"/>
      <c r="F38" s="6"/>
      <c r="G38" s="6"/>
      <c r="H38" s="13"/>
      <c r="I38" s="2"/>
      <c r="J38" s="12"/>
      <c r="K38" s="6"/>
      <c r="L38" s="6"/>
      <c r="M38" s="13"/>
      <c r="U38" s="6"/>
      <c r="V38" s="6"/>
      <c r="W38" s="6"/>
      <c r="X38" s="6"/>
      <c r="Y38" s="6"/>
      <c r="Z38" s="6"/>
      <c r="AA38" s="6"/>
      <c r="AD38" s="272" t="s">
        <v>586</v>
      </c>
      <c r="AE38" s="273"/>
      <c r="AF38" s="273"/>
      <c r="AG38" s="273"/>
      <c r="AH38" s="273"/>
      <c r="AI38" s="273"/>
      <c r="AJ38" s="273"/>
      <c r="AK38" s="274"/>
    </row>
    <row r="39" spans="1:38" ht="61" thickBot="1" x14ac:dyDescent="0.25">
      <c r="J39" s="132" t="s">
        <v>213</v>
      </c>
      <c r="K39" s="111" t="s">
        <v>214</v>
      </c>
      <c r="L39" s="111"/>
      <c r="M39" s="275" t="s">
        <v>187</v>
      </c>
      <c r="N39" s="275"/>
      <c r="O39" s="275"/>
      <c r="P39" s="275"/>
      <c r="Q39" s="133"/>
      <c r="R39" s="221"/>
      <c r="S39" s="175" t="s">
        <v>564</v>
      </c>
      <c r="T39" s="128" t="s">
        <v>231</v>
      </c>
      <c r="U39" s="112" t="s">
        <v>543</v>
      </c>
      <c r="V39" s="112" t="s">
        <v>229</v>
      </c>
      <c r="W39" s="112" t="s">
        <v>230</v>
      </c>
      <c r="X39" s="112" t="s">
        <v>101</v>
      </c>
      <c r="Y39" s="129"/>
      <c r="Z39" s="130"/>
      <c r="AA39" s="131" t="s">
        <v>216</v>
      </c>
      <c r="AB39" s="177" t="s">
        <v>584</v>
      </c>
      <c r="AC39" s="175" t="s">
        <v>564</v>
      </c>
      <c r="AD39" s="103" t="s">
        <v>232</v>
      </c>
      <c r="AE39" s="104" t="s">
        <v>87</v>
      </c>
      <c r="AF39" s="104" t="s">
        <v>233</v>
      </c>
      <c r="AG39" s="104" t="s">
        <v>234</v>
      </c>
      <c r="AH39" s="104" t="s">
        <v>27</v>
      </c>
      <c r="AI39" s="105" t="s">
        <v>235</v>
      </c>
      <c r="AJ39" s="104" t="s">
        <v>243</v>
      </c>
      <c r="AK39" s="106" t="s">
        <v>236</v>
      </c>
      <c r="AL39" s="177" t="s">
        <v>565</v>
      </c>
    </row>
    <row r="40" spans="1:38" ht="23" thickBot="1" x14ac:dyDescent="0.3">
      <c r="J40" s="52" t="s">
        <v>228</v>
      </c>
      <c r="K40" s="161" t="s">
        <v>543</v>
      </c>
      <c r="L40" s="162" t="s">
        <v>229</v>
      </c>
      <c r="M40" s="58" t="s">
        <v>230</v>
      </c>
      <c r="N40" s="162" t="s">
        <v>101</v>
      </c>
      <c r="O40" s="62"/>
      <c r="P40" s="62"/>
      <c r="Q40" s="59" t="s">
        <v>216</v>
      </c>
      <c r="R40" s="174" t="s">
        <v>584</v>
      </c>
      <c r="S40" s="193"/>
      <c r="T40" s="41" t="s">
        <v>542</v>
      </c>
      <c r="U40" s="42"/>
      <c r="V40" s="42"/>
      <c r="W40" s="42"/>
      <c r="X40" s="40" t="e">
        <f t="shared" ref="X40:X59" si="1">VLOOKUP(V40,Matrix_véhicule,4,FALSE)</f>
        <v>#N/A</v>
      </c>
      <c r="Y40" s="40"/>
      <c r="Z40" s="21"/>
      <c r="AA40" s="74">
        <f t="shared" ref="AA40:AA71" si="2">IFERROR(U40*W40*VLOOKUP(V40,Matrix_véhicule,3,FALSE)/IF(X40=1,1,U40),0)</f>
        <v>0</v>
      </c>
      <c r="AB40" s="222" t="str">
        <f>IF(OR(V40="automobile", V40="automobile hybride", V40="automobile électrique"), IFERROR(AA40/U40, 0), "0.000")</f>
        <v>0.000</v>
      </c>
      <c r="AC40" s="193"/>
      <c r="AD40" s="21" t="s">
        <v>102</v>
      </c>
      <c r="AE40" s="21" t="s">
        <v>568</v>
      </c>
      <c r="AF40" s="21">
        <f>0.17/1000</f>
        <v>1.7000000000000001E-4</v>
      </c>
      <c r="AG40" s="43"/>
      <c r="AH40" s="21" t="s">
        <v>200</v>
      </c>
      <c r="AI40" s="43"/>
      <c r="AJ40" s="21">
        <f>IF(AG40&lt;=100, AF40*AG40*AI40*75%*100%, IF(AG40&lt;=800, AF40*AG40*AI40*75%*50%, AF40*AG40*AI40*75%*25%))</f>
        <v>0</v>
      </c>
      <c r="AK40" s="93">
        <f>AF40*AG40*AI40*25%</f>
        <v>0</v>
      </c>
      <c r="AL40" s="196"/>
    </row>
    <row r="41" spans="1:38" ht="23" thickBot="1" x14ac:dyDescent="0.3">
      <c r="A41" s="81" t="s">
        <v>213</v>
      </c>
      <c r="B41" s="273" t="s">
        <v>214</v>
      </c>
      <c r="C41" s="273"/>
      <c r="D41" s="273" t="s">
        <v>187</v>
      </c>
      <c r="E41" s="273"/>
      <c r="F41" s="273"/>
      <c r="G41" s="273"/>
      <c r="H41" s="82"/>
      <c r="I41" s="223" t="s">
        <v>565</v>
      </c>
      <c r="J41" s="224" t="s">
        <v>542</v>
      </c>
      <c r="K41" s="43"/>
      <c r="L41" s="43"/>
      <c r="M41" s="43"/>
      <c r="N41" s="21" t="e">
        <f>VLOOKUP(L41,Matrix_véhicule,4,FALSE)</f>
        <v>#N/A</v>
      </c>
      <c r="O41" s="21"/>
      <c r="P41" s="21"/>
      <c r="Q41" s="74">
        <f t="shared" ref="Q41:Q72" si="3">IFERROR(K41*M41*VLOOKUP(L41,Matrix_véhicule,3,FALSE)/IF(N41=1,1,K41),0)</f>
        <v>0</v>
      </c>
      <c r="R41" s="222" t="str">
        <f>IF(OR(L41="automobile", L41="automobile hybride", L41="automobile électrique"), IFERROR(Q41/K41, 0), "0.000")</f>
        <v>0.000</v>
      </c>
      <c r="S41" s="194"/>
      <c r="T41" s="41">
        <v>1</v>
      </c>
      <c r="U41" s="43"/>
      <c r="V41" s="43"/>
      <c r="W41" s="43"/>
      <c r="X41" s="21" t="e">
        <f t="shared" si="1"/>
        <v>#N/A</v>
      </c>
      <c r="Y41" s="21"/>
      <c r="Z41" s="21"/>
      <c r="AA41" s="74">
        <f t="shared" si="2"/>
        <v>0</v>
      </c>
      <c r="AB41" s="222" t="str">
        <f t="shared" ref="AB41:AB104" si="4">IF(OR(V41="automobile", V41="automobile hybride", V41="automobile électrique"), IFERROR(AA41/U41, 0), "0.000")</f>
        <v>0.000</v>
      </c>
      <c r="AC41" s="194"/>
      <c r="AD41" s="21" t="s">
        <v>103</v>
      </c>
      <c r="AE41" s="21" t="s">
        <v>568</v>
      </c>
      <c r="AF41" s="21">
        <f>0.12/1000</f>
        <v>1.1999999999999999E-4</v>
      </c>
      <c r="AG41" s="43"/>
      <c r="AH41" s="21" t="s">
        <v>200</v>
      </c>
      <c r="AI41" s="43"/>
      <c r="AJ41" s="21">
        <f t="shared" ref="AJ41:AJ43" si="5">IF(AG41&lt;=100, AF41*AG41*AI41*75%*100%, IF(AG41&lt;=800, AF41*AG41*AI41*75%*50%, AF41*AG41*AI41*75%*25%))</f>
        <v>0</v>
      </c>
      <c r="AK41" s="93">
        <f t="shared" ref="AK41:AK52" si="6">AF41*AG41*AI41*25%</f>
        <v>0</v>
      </c>
      <c r="AL41" s="196"/>
    </row>
    <row r="42" spans="1:38" ht="22" x14ac:dyDescent="0.25">
      <c r="A42" s="8"/>
      <c r="B42" s="7"/>
      <c r="H42" s="14"/>
      <c r="I42" s="196"/>
      <c r="J42" s="41">
        <v>2</v>
      </c>
      <c r="K42" s="43"/>
      <c r="L42" s="43"/>
      <c r="M42" s="43"/>
      <c r="N42" s="21" t="e">
        <f t="shared" ref="N42:N108" si="7">VLOOKUP(L42,Matrix_véhicule,4,FALSE)</f>
        <v>#N/A</v>
      </c>
      <c r="O42" s="21"/>
      <c r="P42" s="21"/>
      <c r="Q42" s="74">
        <f t="shared" si="3"/>
        <v>0</v>
      </c>
      <c r="R42" s="222" t="str">
        <f t="shared" ref="R42:R105" si="8">IF(OR(L42="automobile", L42="automobile hybride", L42="automobile électrique"), IFERROR(Q42/K42, 0), "0.000")</f>
        <v>0.000</v>
      </c>
      <c r="S42" s="194"/>
      <c r="T42" s="41">
        <v>2</v>
      </c>
      <c r="U42" s="43"/>
      <c r="V42" s="43"/>
      <c r="W42" s="43"/>
      <c r="X42" s="21" t="e">
        <f t="shared" si="1"/>
        <v>#N/A</v>
      </c>
      <c r="Y42" s="21"/>
      <c r="Z42" s="21"/>
      <c r="AA42" s="74">
        <f t="shared" si="2"/>
        <v>0</v>
      </c>
      <c r="AB42" s="222" t="str">
        <f t="shared" si="4"/>
        <v>0.000</v>
      </c>
      <c r="AC42" s="194"/>
      <c r="AD42" s="21" t="s">
        <v>304</v>
      </c>
      <c r="AE42" s="21" t="s">
        <v>567</v>
      </c>
      <c r="AF42" s="207">
        <f>0.0801/1000</f>
        <v>8.0100000000000009E-5</v>
      </c>
      <c r="AG42" s="43"/>
      <c r="AH42" s="21" t="s">
        <v>200</v>
      </c>
      <c r="AI42" s="43"/>
      <c r="AJ42" s="21">
        <f t="shared" si="5"/>
        <v>0</v>
      </c>
      <c r="AK42" s="93">
        <f t="shared" si="6"/>
        <v>0</v>
      </c>
      <c r="AL42" s="196"/>
    </row>
    <row r="43" spans="1:38" ht="23" thickBot="1" x14ac:dyDescent="0.3">
      <c r="A43" s="83" t="s">
        <v>215</v>
      </c>
      <c r="B43" s="56"/>
      <c r="C43" s="55" t="s">
        <v>87</v>
      </c>
      <c r="D43" s="55" t="s">
        <v>358</v>
      </c>
      <c r="E43" s="55"/>
      <c r="F43" s="55"/>
      <c r="G43" s="55"/>
      <c r="H43" s="75" t="s">
        <v>216</v>
      </c>
      <c r="I43" s="179"/>
      <c r="J43" s="41">
        <v>3</v>
      </c>
      <c r="K43" s="43"/>
      <c r="L43" s="43"/>
      <c r="M43" s="43"/>
      <c r="N43" s="21" t="e">
        <f t="shared" si="7"/>
        <v>#N/A</v>
      </c>
      <c r="O43" s="21"/>
      <c r="P43" s="21"/>
      <c r="Q43" s="74">
        <f t="shared" si="3"/>
        <v>0</v>
      </c>
      <c r="R43" s="222" t="str">
        <f t="shared" si="8"/>
        <v>0.000</v>
      </c>
      <c r="S43" s="194"/>
      <c r="T43" s="41">
        <v>4</v>
      </c>
      <c r="U43" s="43"/>
      <c r="V43" s="43"/>
      <c r="W43" s="43"/>
      <c r="X43" s="21" t="e">
        <f t="shared" si="1"/>
        <v>#N/A</v>
      </c>
      <c r="Y43" s="21"/>
      <c r="Z43" s="21"/>
      <c r="AA43" s="74">
        <f t="shared" si="2"/>
        <v>0</v>
      </c>
      <c r="AB43" s="222" t="str">
        <f t="shared" si="4"/>
        <v>0.000</v>
      </c>
      <c r="AC43" s="194"/>
      <c r="AD43" s="21" t="s">
        <v>303</v>
      </c>
      <c r="AE43" s="21" t="s">
        <v>536</v>
      </c>
      <c r="AF43" s="21">
        <f>0.0289/1000</f>
        <v>2.8899999999999998E-5</v>
      </c>
      <c r="AG43" s="43"/>
      <c r="AH43" s="21" t="s">
        <v>200</v>
      </c>
      <c r="AI43" s="43"/>
      <c r="AJ43" s="21">
        <f t="shared" si="5"/>
        <v>0</v>
      </c>
      <c r="AK43" s="93">
        <f t="shared" si="6"/>
        <v>0</v>
      </c>
      <c r="AL43" s="196"/>
    </row>
    <row r="44" spans="1:38" ht="22" x14ac:dyDescent="0.25">
      <c r="A44" s="160" t="s">
        <v>331</v>
      </c>
      <c r="B44" s="163"/>
      <c r="C44" s="40" t="s">
        <v>353</v>
      </c>
      <c r="D44" s="70"/>
      <c r="E44" s="40"/>
      <c r="F44" s="40"/>
      <c r="G44" s="40"/>
      <c r="H44" s="86">
        <f>B44*Références!B76+(Références!C76*'Calculateur Général'!D44*B44)</f>
        <v>0</v>
      </c>
      <c r="I44" s="180"/>
      <c r="J44" s="41">
        <v>4</v>
      </c>
      <c r="K44" s="43"/>
      <c r="L44" s="43"/>
      <c r="M44" s="43"/>
      <c r="N44" s="21" t="e">
        <f t="shared" si="7"/>
        <v>#N/A</v>
      </c>
      <c r="O44" s="21"/>
      <c r="P44" s="21"/>
      <c r="Q44" s="74">
        <f t="shared" si="3"/>
        <v>0</v>
      </c>
      <c r="R44" s="222" t="str">
        <f t="shared" si="8"/>
        <v>0.000</v>
      </c>
      <c r="S44" s="194"/>
      <c r="T44" s="41">
        <v>5</v>
      </c>
      <c r="U44" s="43"/>
      <c r="V44" s="43"/>
      <c r="W44" s="43"/>
      <c r="X44" s="21" t="e">
        <f t="shared" si="1"/>
        <v>#N/A</v>
      </c>
      <c r="Y44" s="21"/>
      <c r="Z44" s="21"/>
      <c r="AA44" s="74">
        <f t="shared" si="2"/>
        <v>0</v>
      </c>
      <c r="AB44" s="222" t="str">
        <f t="shared" si="4"/>
        <v>0.000</v>
      </c>
      <c r="AC44" s="194"/>
      <c r="AD44" s="21" t="s">
        <v>106</v>
      </c>
      <c r="AE44" s="21" t="s">
        <v>537</v>
      </c>
      <c r="AF44" s="21">
        <f>0.10224755/1000</f>
        <v>1.0224755000000001E-4</v>
      </c>
      <c r="AG44" s="43"/>
      <c r="AH44" s="21" t="s">
        <v>200</v>
      </c>
      <c r="AI44" s="43"/>
      <c r="AJ44" s="21">
        <f>IF(AI44=0, 0,
    IF(AG44&lt;=100, ((AF44 * AG44) / AI44) * 100%,
    IF(AG44&lt;=800, ((AF44 * AG44) / AI44) * 50%,
    ((AF44 * AG44) / AI44) * 25%)))</f>
        <v>0</v>
      </c>
      <c r="AK44" s="93">
        <f t="shared" si="6"/>
        <v>0</v>
      </c>
      <c r="AL44" s="196"/>
    </row>
    <row r="45" spans="1:38" ht="22" x14ac:dyDescent="0.25">
      <c r="A45" s="19" t="s">
        <v>329</v>
      </c>
      <c r="B45" s="20"/>
      <c r="C45" s="21" t="s">
        <v>353</v>
      </c>
      <c r="D45" s="118"/>
      <c r="E45" s="21"/>
      <c r="F45" s="21"/>
      <c r="G45" s="21"/>
      <c r="H45" s="74">
        <f>B45*Références!B77+(Références!C77*'Calculateur Général'!D45*B45)</f>
        <v>0</v>
      </c>
      <c r="I45" s="180"/>
      <c r="J45" s="41">
        <v>5</v>
      </c>
      <c r="K45" s="43"/>
      <c r="L45" s="43"/>
      <c r="M45" s="43"/>
      <c r="N45" s="21" t="e">
        <f t="shared" si="7"/>
        <v>#N/A</v>
      </c>
      <c r="O45" s="21"/>
      <c r="P45" s="21"/>
      <c r="Q45" s="74">
        <f t="shared" si="3"/>
        <v>0</v>
      </c>
      <c r="R45" s="222" t="str">
        <f t="shared" si="8"/>
        <v>0.000</v>
      </c>
      <c r="S45" s="194"/>
      <c r="T45" s="41">
        <v>6</v>
      </c>
      <c r="U45" s="43"/>
      <c r="V45" s="43"/>
      <c r="W45" s="43"/>
      <c r="X45" s="21" t="e">
        <f t="shared" si="1"/>
        <v>#N/A</v>
      </c>
      <c r="Y45" s="21"/>
      <c r="Z45" s="21"/>
      <c r="AA45" s="74">
        <f t="shared" si="2"/>
        <v>0</v>
      </c>
      <c r="AB45" s="222" t="str">
        <f t="shared" si="4"/>
        <v>0.000</v>
      </c>
      <c r="AC45" s="194"/>
      <c r="AD45" s="21" t="s">
        <v>108</v>
      </c>
      <c r="AE45" s="21" t="s">
        <v>537</v>
      </c>
      <c r="AF45" s="21">
        <f>0.07267/1000</f>
        <v>7.2669999999999994E-5</v>
      </c>
      <c r="AG45" s="43"/>
      <c r="AH45" s="21" t="s">
        <v>200</v>
      </c>
      <c r="AI45" s="43"/>
      <c r="AJ45" s="21">
        <f>IF(AI45=0, 0,
    IF(AG45&lt;=100, ((AF45 * AG45) / AI45) * 100%,
    IF(AG45&lt;=800, ((AF45 * AG45) / AI45) * 50%,
    ((AF45 * AG45) / AI45) * 25%)))</f>
        <v>0</v>
      </c>
      <c r="AK45" s="93">
        <f t="shared" si="6"/>
        <v>0</v>
      </c>
      <c r="AL45" s="196"/>
    </row>
    <row r="46" spans="1:38" ht="22" x14ac:dyDescent="0.25">
      <c r="A46" s="19" t="s">
        <v>328</v>
      </c>
      <c r="B46" s="20"/>
      <c r="C46" s="21" t="s">
        <v>353</v>
      </c>
      <c r="D46" s="118"/>
      <c r="E46" s="21"/>
      <c r="F46" s="21"/>
      <c r="G46" s="21"/>
      <c r="H46" s="74">
        <f>B46*Références!B78+(Références!C78*'Calculateur Général'!D46*B46)</f>
        <v>0</v>
      </c>
      <c r="I46" s="180"/>
      <c r="J46" s="41">
        <v>6</v>
      </c>
      <c r="K46" s="43"/>
      <c r="L46" s="43"/>
      <c r="M46" s="43"/>
      <c r="N46" s="21" t="e">
        <f t="shared" si="7"/>
        <v>#N/A</v>
      </c>
      <c r="O46" s="21"/>
      <c r="P46" s="21"/>
      <c r="Q46" s="74">
        <f t="shared" si="3"/>
        <v>0</v>
      </c>
      <c r="R46" s="222" t="str">
        <f t="shared" si="8"/>
        <v>0.000</v>
      </c>
      <c r="S46" s="194"/>
      <c r="T46" s="41">
        <v>7</v>
      </c>
      <c r="U46" s="43"/>
      <c r="V46" s="43"/>
      <c r="W46" s="43"/>
      <c r="X46" s="21" t="e">
        <f t="shared" si="1"/>
        <v>#N/A</v>
      </c>
      <c r="Y46" s="21"/>
      <c r="Z46" s="21"/>
      <c r="AA46" s="74">
        <f t="shared" si="2"/>
        <v>0</v>
      </c>
      <c r="AB46" s="222" t="str">
        <f t="shared" si="4"/>
        <v>0.000</v>
      </c>
      <c r="AC46" s="194"/>
      <c r="AD46" s="21" t="s">
        <v>110</v>
      </c>
      <c r="AE46" s="21" t="s">
        <v>538</v>
      </c>
      <c r="AF46" s="21">
        <f>0.3091205/1000</f>
        <v>3.0912050000000003E-4</v>
      </c>
      <c r="AG46" s="43"/>
      <c r="AH46" s="21" t="s">
        <v>200</v>
      </c>
      <c r="AI46" s="43"/>
      <c r="AJ46" s="21">
        <f t="shared" ref="AJ46:AJ48" si="9">IF(AI46=0, 0,
    IF(AG46&lt;=100, ((AF46 * AG46) / AI46) * 100%,
    IF(AG46&lt;=800, ((AF46 * AG46) / AI46) * 50%,
    ((AF46 * AG46) / AI46) * 25%)))</f>
        <v>0</v>
      </c>
      <c r="AK46" s="93">
        <f t="shared" si="6"/>
        <v>0</v>
      </c>
      <c r="AL46" s="196"/>
    </row>
    <row r="47" spans="1:38" ht="23" thickBot="1" x14ac:dyDescent="0.3">
      <c r="A47" s="44" t="s">
        <v>330</v>
      </c>
      <c r="B47" s="45"/>
      <c r="C47" s="27" t="s">
        <v>353</v>
      </c>
      <c r="D47" s="119"/>
      <c r="E47" s="27"/>
      <c r="F47" s="27"/>
      <c r="G47" s="27"/>
      <c r="H47" s="78">
        <f>B47*Références!B79+(Références!C79*'Calculateur Général'!D47*B47)</f>
        <v>0</v>
      </c>
      <c r="I47" s="180"/>
      <c r="J47" s="41">
        <v>7</v>
      </c>
      <c r="K47" s="43"/>
      <c r="L47" s="43"/>
      <c r="M47" s="43"/>
      <c r="N47" s="21" t="e">
        <f t="shared" si="7"/>
        <v>#N/A</v>
      </c>
      <c r="O47" s="21"/>
      <c r="P47" s="21"/>
      <c r="Q47" s="74">
        <f t="shared" si="3"/>
        <v>0</v>
      </c>
      <c r="R47" s="222" t="str">
        <f t="shared" si="8"/>
        <v>0.000</v>
      </c>
      <c r="S47" s="194"/>
      <c r="T47" s="41">
        <v>8</v>
      </c>
      <c r="U47" s="43"/>
      <c r="V47" s="43"/>
      <c r="W47" s="43"/>
      <c r="X47" s="21" t="e">
        <f t="shared" si="1"/>
        <v>#N/A</v>
      </c>
      <c r="Y47" s="21"/>
      <c r="Z47" s="21"/>
      <c r="AA47" s="74">
        <f t="shared" si="2"/>
        <v>0</v>
      </c>
      <c r="AB47" s="222" t="str">
        <f t="shared" si="4"/>
        <v>0.000</v>
      </c>
      <c r="AC47" s="194"/>
      <c r="AD47" s="21" t="s">
        <v>112</v>
      </c>
      <c r="AE47" s="21" t="s">
        <v>538</v>
      </c>
      <c r="AF47" s="21">
        <f>0.34003255/1000</f>
        <v>3.4003255000000001E-4</v>
      </c>
      <c r="AG47" s="43"/>
      <c r="AH47" s="21" t="s">
        <v>200</v>
      </c>
      <c r="AI47" s="43"/>
      <c r="AJ47" s="21">
        <f t="shared" si="9"/>
        <v>0</v>
      </c>
      <c r="AK47" s="93">
        <f t="shared" si="6"/>
        <v>0</v>
      </c>
      <c r="AL47" s="196"/>
    </row>
    <row r="48" spans="1:38" ht="23" thickBot="1" x14ac:dyDescent="0.3">
      <c r="A48" s="6"/>
      <c r="B48" s="6"/>
      <c r="C48" s="6"/>
      <c r="D48" s="6"/>
      <c r="E48" s="6"/>
      <c r="F48" s="6"/>
      <c r="G48" s="6"/>
      <c r="H48" s="13"/>
      <c r="I48" s="196"/>
      <c r="J48" s="41">
        <v>8</v>
      </c>
      <c r="K48" s="43"/>
      <c r="L48" s="43"/>
      <c r="M48" s="43"/>
      <c r="N48" s="21" t="e">
        <f t="shared" si="7"/>
        <v>#N/A</v>
      </c>
      <c r="O48" s="21"/>
      <c r="P48" s="21"/>
      <c r="Q48" s="74">
        <f t="shared" si="3"/>
        <v>0</v>
      </c>
      <c r="R48" s="222" t="str">
        <f t="shared" si="8"/>
        <v>0.000</v>
      </c>
      <c r="S48" s="194"/>
      <c r="T48" s="41">
        <v>9</v>
      </c>
      <c r="U48" s="43"/>
      <c r="V48" s="43"/>
      <c r="W48" s="43"/>
      <c r="X48" s="21" t="e">
        <f t="shared" si="1"/>
        <v>#N/A</v>
      </c>
      <c r="Y48" s="21"/>
      <c r="Z48" s="21"/>
      <c r="AA48" s="74">
        <f t="shared" si="2"/>
        <v>0</v>
      </c>
      <c r="AB48" s="222" t="str">
        <f t="shared" si="4"/>
        <v>0.000</v>
      </c>
      <c r="AC48" s="194"/>
      <c r="AD48" s="21" t="s">
        <v>114</v>
      </c>
      <c r="AE48" s="21" t="s">
        <v>538</v>
      </c>
      <c r="AF48" s="21">
        <f>0.1161/1000</f>
        <v>1.1609999999999999E-4</v>
      </c>
      <c r="AG48" s="43"/>
      <c r="AH48" s="21" t="s">
        <v>200</v>
      </c>
      <c r="AI48" s="43"/>
      <c r="AJ48" s="21">
        <f t="shared" si="9"/>
        <v>0</v>
      </c>
      <c r="AK48" s="93">
        <f t="shared" si="6"/>
        <v>0</v>
      </c>
      <c r="AL48" s="196"/>
    </row>
    <row r="49" spans="1:38" ht="23" thickBot="1" x14ac:dyDescent="0.3">
      <c r="A49" s="84" t="s">
        <v>453</v>
      </c>
      <c r="B49" s="57"/>
      <c r="C49" s="58" t="s">
        <v>87</v>
      </c>
      <c r="D49" s="58" t="s">
        <v>458</v>
      </c>
      <c r="E49" s="58"/>
      <c r="F49" s="58"/>
      <c r="G49" s="58"/>
      <c r="H49" s="59" t="s">
        <v>216</v>
      </c>
      <c r="I49" s="172" t="s">
        <v>564</v>
      </c>
      <c r="J49" s="41">
        <v>9</v>
      </c>
      <c r="K49" s="43"/>
      <c r="L49" s="43"/>
      <c r="M49" s="43"/>
      <c r="N49" s="21" t="e">
        <f t="shared" si="7"/>
        <v>#N/A</v>
      </c>
      <c r="O49" s="21"/>
      <c r="P49" s="21"/>
      <c r="Q49" s="74">
        <f t="shared" si="3"/>
        <v>0</v>
      </c>
      <c r="R49" s="222" t="str">
        <f t="shared" si="8"/>
        <v>0.000</v>
      </c>
      <c r="S49" s="194"/>
      <c r="T49" s="41">
        <v>10</v>
      </c>
      <c r="U49" s="43"/>
      <c r="V49" s="43"/>
      <c r="W49" s="43"/>
      <c r="X49" s="21" t="e">
        <f t="shared" si="1"/>
        <v>#N/A</v>
      </c>
      <c r="Y49" s="21"/>
      <c r="Z49" s="21"/>
      <c r="AA49" s="74">
        <f t="shared" si="2"/>
        <v>0</v>
      </c>
      <c r="AB49" s="222" t="str">
        <f t="shared" si="4"/>
        <v>0.000</v>
      </c>
      <c r="AC49" s="194"/>
      <c r="AD49" s="21" t="s">
        <v>116</v>
      </c>
      <c r="AE49" s="21" t="s">
        <v>536</v>
      </c>
      <c r="AF49" s="207">
        <f>0.081/1000</f>
        <v>8.1000000000000004E-5</v>
      </c>
      <c r="AG49" s="43"/>
      <c r="AH49" s="21" t="s">
        <v>200</v>
      </c>
      <c r="AI49" s="43"/>
      <c r="AJ49" s="21">
        <f>IF(AG49&lt;=100, AF49*AG49*AI49*75%*100%, IF(AG49&lt;=800, AF49*AG49*AI49*75%*50%, AF49*AG49*AI49*75%*25%))</f>
        <v>0</v>
      </c>
      <c r="AK49" s="93">
        <f t="shared" si="6"/>
        <v>0</v>
      </c>
      <c r="AL49" s="196"/>
    </row>
    <row r="50" spans="1:38" ht="22" x14ac:dyDescent="0.25">
      <c r="A50" s="85" t="s">
        <v>345</v>
      </c>
      <c r="B50" s="20"/>
      <c r="C50" s="21" t="s">
        <v>344</v>
      </c>
      <c r="D50" s="118"/>
      <c r="H50" s="121">
        <f>IF(D50="", B50*Références!C223, B50*Références!C223*D50)</f>
        <v>0</v>
      </c>
      <c r="I50" s="225"/>
      <c r="J50" s="41">
        <v>10</v>
      </c>
      <c r="K50" s="43"/>
      <c r="L50" s="43"/>
      <c r="M50" s="43"/>
      <c r="N50" s="21" t="e">
        <f t="shared" si="7"/>
        <v>#N/A</v>
      </c>
      <c r="O50" s="21"/>
      <c r="P50" s="21"/>
      <c r="Q50" s="74">
        <f t="shared" si="3"/>
        <v>0</v>
      </c>
      <c r="R50" s="222" t="str">
        <f t="shared" si="8"/>
        <v>0.000</v>
      </c>
      <c r="S50" s="194"/>
      <c r="T50" s="41">
        <v>11</v>
      </c>
      <c r="U50" s="43"/>
      <c r="V50" s="43"/>
      <c r="W50" s="43"/>
      <c r="X50" s="21" t="e">
        <f t="shared" si="1"/>
        <v>#N/A</v>
      </c>
      <c r="Y50" s="21"/>
      <c r="Z50" s="21"/>
      <c r="AA50" s="74">
        <f t="shared" si="2"/>
        <v>0</v>
      </c>
      <c r="AB50" s="222" t="str">
        <f t="shared" si="4"/>
        <v>0.000</v>
      </c>
      <c r="AC50" s="194"/>
      <c r="AD50" s="21" t="s">
        <v>118</v>
      </c>
      <c r="AE50" s="21" t="s">
        <v>537</v>
      </c>
      <c r="AF50" s="21">
        <v>0</v>
      </c>
      <c r="AG50" s="43"/>
      <c r="AH50" s="21" t="s">
        <v>200</v>
      </c>
      <c r="AI50" s="43"/>
      <c r="AJ50" s="21">
        <f t="shared" ref="AJ50:AJ52" si="10">IF(AG50&lt;=100, AF50*AG50*AI50*75%*100%, IF(AG50&lt;=800, AF50*AG50*AI50*75%*50%, AF50*AG50*AI50*75%*25%))</f>
        <v>0</v>
      </c>
      <c r="AK50" s="93">
        <f t="shared" si="6"/>
        <v>0</v>
      </c>
      <c r="AL50" s="196"/>
    </row>
    <row r="51" spans="1:38" ht="22" x14ac:dyDescent="0.25">
      <c r="A51" s="85" t="s">
        <v>346</v>
      </c>
      <c r="B51" s="20"/>
      <c r="C51" s="21" t="s">
        <v>344</v>
      </c>
      <c r="D51" s="118"/>
      <c r="H51" s="122">
        <f>IF(D51="", B51*Références!C224, B51*Références!C224*D51)</f>
        <v>0</v>
      </c>
      <c r="I51" s="203"/>
      <c r="J51" s="41">
        <v>11</v>
      </c>
      <c r="K51" s="43"/>
      <c r="L51" s="43"/>
      <c r="M51" s="43"/>
      <c r="N51" s="21" t="e">
        <f t="shared" si="7"/>
        <v>#N/A</v>
      </c>
      <c r="O51" s="21"/>
      <c r="P51" s="21"/>
      <c r="Q51" s="74">
        <f t="shared" si="3"/>
        <v>0</v>
      </c>
      <c r="R51" s="222" t="str">
        <f t="shared" si="8"/>
        <v>0.000</v>
      </c>
      <c r="S51" s="194"/>
      <c r="T51" s="41">
        <v>12</v>
      </c>
      <c r="U51" s="43"/>
      <c r="V51" s="43"/>
      <c r="W51" s="43"/>
      <c r="X51" s="21" t="e">
        <f t="shared" si="1"/>
        <v>#N/A</v>
      </c>
      <c r="Y51" s="21"/>
      <c r="Z51" s="21"/>
      <c r="AA51" s="74">
        <f t="shared" si="2"/>
        <v>0</v>
      </c>
      <c r="AB51" s="222" t="str">
        <f t="shared" si="4"/>
        <v>0.000</v>
      </c>
      <c r="AC51" s="194"/>
      <c r="AD51" s="21" t="s">
        <v>237</v>
      </c>
      <c r="AE51" s="21" t="s">
        <v>537</v>
      </c>
      <c r="AF51" s="21">
        <v>5.0000000000000002E-5</v>
      </c>
      <c r="AG51" s="43"/>
      <c r="AH51" s="21" t="s">
        <v>200</v>
      </c>
      <c r="AI51" s="43"/>
      <c r="AJ51" s="21">
        <f t="shared" si="10"/>
        <v>0</v>
      </c>
      <c r="AK51" s="93">
        <f t="shared" si="6"/>
        <v>0</v>
      </c>
      <c r="AL51" s="196"/>
    </row>
    <row r="52" spans="1:38" ht="19" x14ac:dyDescent="0.25">
      <c r="A52" s="85" t="s">
        <v>454</v>
      </c>
      <c r="B52" s="20"/>
      <c r="C52" s="21" t="s">
        <v>344</v>
      </c>
      <c r="D52" s="118"/>
      <c r="H52" s="122">
        <f>IF(D52="", B52*Références!C225, B52*Références!C225*D52)</f>
        <v>0</v>
      </c>
      <c r="I52" s="203"/>
      <c r="J52" s="41">
        <v>12</v>
      </c>
      <c r="K52" s="43"/>
      <c r="L52" s="43"/>
      <c r="M52" s="43"/>
      <c r="N52" s="21" t="e">
        <f t="shared" si="7"/>
        <v>#N/A</v>
      </c>
      <c r="O52" s="21"/>
      <c r="P52" s="21"/>
      <c r="Q52" s="74">
        <f t="shared" si="3"/>
        <v>0</v>
      </c>
      <c r="R52" s="222" t="str">
        <f t="shared" si="8"/>
        <v>0.000</v>
      </c>
      <c r="S52" s="194"/>
      <c r="T52" s="41">
        <v>13</v>
      </c>
      <c r="U52" s="43"/>
      <c r="V52" s="43"/>
      <c r="W52" s="43"/>
      <c r="X52" s="21" t="e">
        <f t="shared" si="1"/>
        <v>#N/A</v>
      </c>
      <c r="Y52" s="21"/>
      <c r="Z52" s="21"/>
      <c r="AA52" s="74">
        <f t="shared" si="2"/>
        <v>0</v>
      </c>
      <c r="AB52" s="222" t="str">
        <f t="shared" si="4"/>
        <v>0.000</v>
      </c>
      <c r="AC52" s="194"/>
      <c r="AD52" s="21" t="s">
        <v>323</v>
      </c>
      <c r="AE52" s="21" t="s">
        <v>324</v>
      </c>
      <c r="AF52" s="21">
        <v>0.4</v>
      </c>
      <c r="AG52" s="43"/>
      <c r="AH52" s="21" t="s">
        <v>325</v>
      </c>
      <c r="AI52" s="43"/>
      <c r="AJ52" s="21">
        <f t="shared" si="10"/>
        <v>0</v>
      </c>
      <c r="AK52" s="93">
        <f t="shared" si="6"/>
        <v>0</v>
      </c>
      <c r="AL52" s="196"/>
    </row>
    <row r="53" spans="1:38" ht="23" thickBot="1" x14ac:dyDescent="0.3">
      <c r="H53" s="13"/>
      <c r="I53" s="196"/>
      <c r="J53" s="41">
        <v>13</v>
      </c>
      <c r="K53" s="43"/>
      <c r="L53" s="43"/>
      <c r="M53" s="43"/>
      <c r="N53" s="21" t="e">
        <f t="shared" si="7"/>
        <v>#N/A</v>
      </c>
      <c r="O53" s="21"/>
      <c r="P53" s="21"/>
      <c r="Q53" s="74">
        <f t="shared" si="3"/>
        <v>0</v>
      </c>
      <c r="R53" s="222" t="str">
        <f t="shared" si="8"/>
        <v>0.000</v>
      </c>
      <c r="S53" s="194"/>
      <c r="T53" s="41">
        <v>14</v>
      </c>
      <c r="U53" s="43"/>
      <c r="V53" s="43"/>
      <c r="W53" s="43"/>
      <c r="X53" s="21" t="e">
        <f t="shared" si="1"/>
        <v>#N/A</v>
      </c>
      <c r="Y53" s="21"/>
      <c r="Z53" s="21"/>
      <c r="AA53" s="74">
        <f t="shared" si="2"/>
        <v>0</v>
      </c>
      <c r="AB53" s="222" t="str">
        <f t="shared" si="4"/>
        <v>0.000</v>
      </c>
      <c r="AC53" s="194"/>
      <c r="AD53" s="21" t="s">
        <v>585</v>
      </c>
      <c r="AE53" s="21" t="s">
        <v>537</v>
      </c>
      <c r="AF53">
        <f>0.21/1000</f>
        <v>2.0999999999999998E-4</v>
      </c>
      <c r="AG53" s="43"/>
      <c r="AH53" s="21" t="s">
        <v>200</v>
      </c>
      <c r="AI53" s="43"/>
      <c r="AJ53" s="21">
        <v>0</v>
      </c>
      <c r="AL53" s="195"/>
    </row>
    <row r="54" spans="1:38" ht="20" thickBot="1" x14ac:dyDescent="0.3">
      <c r="A54" s="84" t="s">
        <v>314</v>
      </c>
      <c r="B54" s="57"/>
      <c r="C54" s="58" t="s">
        <v>87</v>
      </c>
      <c r="D54" s="58" t="s">
        <v>317</v>
      </c>
      <c r="E54" s="58"/>
      <c r="F54" s="58"/>
      <c r="G54" s="58"/>
      <c r="H54" s="59" t="s">
        <v>216</v>
      </c>
      <c r="I54" s="172" t="s">
        <v>565</v>
      </c>
      <c r="J54" s="41">
        <v>14</v>
      </c>
      <c r="K54" s="43"/>
      <c r="L54" s="43"/>
      <c r="M54" s="43"/>
      <c r="N54" s="21" t="e">
        <f t="shared" si="7"/>
        <v>#N/A</v>
      </c>
      <c r="O54" s="21"/>
      <c r="P54" s="21"/>
      <c r="Q54" s="74">
        <f t="shared" si="3"/>
        <v>0</v>
      </c>
      <c r="R54" s="222" t="str">
        <f t="shared" si="8"/>
        <v>0.000</v>
      </c>
      <c r="S54" s="194"/>
      <c r="T54" s="41">
        <v>15</v>
      </c>
      <c r="U54" s="43"/>
      <c r="V54" s="43"/>
      <c r="W54" s="43"/>
      <c r="X54" s="21" t="e">
        <f t="shared" si="1"/>
        <v>#N/A</v>
      </c>
      <c r="Y54" s="21"/>
      <c r="Z54" s="21"/>
      <c r="AA54" s="74">
        <f t="shared" si="2"/>
        <v>0</v>
      </c>
      <c r="AB54" s="222" t="str">
        <f t="shared" si="4"/>
        <v>0.000</v>
      </c>
      <c r="AC54" s="194"/>
      <c r="AD54" s="109"/>
      <c r="AE54" s="109"/>
      <c r="AF54" s="109"/>
      <c r="AG54" s="109"/>
      <c r="AH54" s="165" t="s">
        <v>238</v>
      </c>
      <c r="AI54" s="109"/>
      <c r="AJ54" s="110">
        <f>SUM(AJ40:AJ52)</f>
        <v>0</v>
      </c>
      <c r="AK54" s="110">
        <f>SUM(AK41:AK52)</f>
        <v>0</v>
      </c>
    </row>
    <row r="55" spans="1:38" ht="19" x14ac:dyDescent="0.25">
      <c r="A55" s="85" t="s">
        <v>315</v>
      </c>
      <c r="B55" s="20"/>
      <c r="C55" s="21" t="s">
        <v>210</v>
      </c>
      <c r="D55" s="20"/>
      <c r="E55" s="21"/>
      <c r="F55" s="21"/>
      <c r="G55" s="21"/>
      <c r="H55" s="122">
        <f>IF(D55&gt;1, B55*Références!C227/D55, IF(D55=0, B55*Références!C227, ""))</f>
        <v>0</v>
      </c>
      <c r="I55" s="225"/>
      <c r="J55" s="41">
        <v>15</v>
      </c>
      <c r="K55" s="43"/>
      <c r="L55" s="43"/>
      <c r="M55" s="43"/>
      <c r="N55" s="21" t="e">
        <f t="shared" si="7"/>
        <v>#N/A</v>
      </c>
      <c r="O55" s="21"/>
      <c r="P55" s="21"/>
      <c r="Q55" s="74">
        <f t="shared" si="3"/>
        <v>0</v>
      </c>
      <c r="R55" s="222" t="str">
        <f t="shared" si="8"/>
        <v>0.000</v>
      </c>
      <c r="S55" s="194"/>
      <c r="T55" s="41">
        <v>16</v>
      </c>
      <c r="U55" s="43"/>
      <c r="V55" s="43"/>
      <c r="W55" s="43"/>
      <c r="X55" s="21" t="e">
        <f t="shared" si="1"/>
        <v>#N/A</v>
      </c>
      <c r="Y55" s="21"/>
      <c r="Z55" s="21"/>
      <c r="AA55" s="74">
        <f t="shared" si="2"/>
        <v>0</v>
      </c>
      <c r="AB55" s="222" t="str">
        <f t="shared" si="4"/>
        <v>0.000</v>
      </c>
      <c r="AC55" s="194"/>
      <c r="AD55" s="21"/>
      <c r="AE55" s="21"/>
      <c r="AF55" s="21"/>
      <c r="AG55" s="21"/>
      <c r="AH55" s="21"/>
      <c r="AI55" s="21"/>
      <c r="AJ55" s="21"/>
      <c r="AK55" s="21"/>
    </row>
    <row r="56" spans="1:38" ht="20" thickBot="1" x14ac:dyDescent="0.3">
      <c r="A56" s="107" t="s">
        <v>316</v>
      </c>
      <c r="B56" s="45"/>
      <c r="C56" s="27" t="s">
        <v>210</v>
      </c>
      <c r="D56" s="45"/>
      <c r="E56" s="27"/>
      <c r="F56" s="27"/>
      <c r="G56" s="27"/>
      <c r="H56" s="123">
        <f>IF(D56&gt;1, B56*Références!C228/D56, IF(D56=0, B56*Références!C228, ""))</f>
        <v>0</v>
      </c>
      <c r="I56" s="203"/>
      <c r="J56" s="41">
        <v>16</v>
      </c>
      <c r="K56" s="43"/>
      <c r="L56" s="43"/>
      <c r="M56" s="43"/>
      <c r="N56" s="21" t="e">
        <f t="shared" si="7"/>
        <v>#N/A</v>
      </c>
      <c r="O56" s="21"/>
      <c r="P56" s="21"/>
      <c r="Q56" s="74">
        <f t="shared" si="3"/>
        <v>0</v>
      </c>
      <c r="R56" s="222" t="str">
        <f t="shared" si="8"/>
        <v>0.000</v>
      </c>
      <c r="S56" s="194"/>
      <c r="T56" s="41">
        <v>17</v>
      </c>
      <c r="U56" s="43"/>
      <c r="V56" s="43"/>
      <c r="W56" s="43"/>
      <c r="X56" s="21" t="e">
        <f t="shared" si="1"/>
        <v>#N/A</v>
      </c>
      <c r="Y56" s="21"/>
      <c r="Z56" s="21"/>
      <c r="AA56" s="74">
        <f t="shared" si="2"/>
        <v>0</v>
      </c>
      <c r="AB56" s="222" t="str">
        <f t="shared" si="4"/>
        <v>0.000</v>
      </c>
      <c r="AC56" s="194"/>
      <c r="AD56" s="21"/>
      <c r="AE56" s="21"/>
      <c r="AF56" s="21"/>
      <c r="AG56" s="21"/>
      <c r="AH56" s="21"/>
      <c r="AI56" s="21"/>
      <c r="AJ56" s="21"/>
      <c r="AK56" s="21"/>
    </row>
    <row r="57" spans="1:38" ht="19" x14ac:dyDescent="0.25">
      <c r="A57" s="276" t="s">
        <v>515</v>
      </c>
      <c r="B57" s="276"/>
      <c r="C57" s="276"/>
      <c r="D57" s="276"/>
      <c r="E57" s="276"/>
      <c r="F57" s="276"/>
      <c r="G57" s="276"/>
      <c r="H57" s="277"/>
      <c r="I57" s="199"/>
      <c r="J57" s="41">
        <v>17</v>
      </c>
      <c r="K57" s="43"/>
      <c r="L57" s="43"/>
      <c r="M57" s="43"/>
      <c r="N57" s="21" t="e">
        <f t="shared" si="7"/>
        <v>#N/A</v>
      </c>
      <c r="O57" s="21"/>
      <c r="P57" s="21"/>
      <c r="Q57" s="74">
        <f t="shared" si="3"/>
        <v>0</v>
      </c>
      <c r="R57" s="222" t="str">
        <f t="shared" si="8"/>
        <v>0.000</v>
      </c>
      <c r="S57" s="194"/>
      <c r="T57" s="41">
        <v>18</v>
      </c>
      <c r="U57" s="43"/>
      <c r="V57" s="43"/>
      <c r="W57" s="43"/>
      <c r="X57" s="21" t="e">
        <f t="shared" si="1"/>
        <v>#N/A</v>
      </c>
      <c r="Y57" s="21"/>
      <c r="Z57" s="21"/>
      <c r="AA57" s="74">
        <f t="shared" si="2"/>
        <v>0</v>
      </c>
      <c r="AB57" s="222" t="str">
        <f t="shared" si="4"/>
        <v>0.000</v>
      </c>
      <c r="AC57" s="194"/>
      <c r="AD57" s="21"/>
      <c r="AE57" s="21"/>
      <c r="AF57" s="21"/>
      <c r="AG57" s="21"/>
      <c r="AH57" s="21"/>
      <c r="AI57" s="21"/>
      <c r="AJ57" s="21"/>
      <c r="AK57" s="21"/>
    </row>
    <row r="58" spans="1:38" ht="19" x14ac:dyDescent="0.25">
      <c r="A58" s="278"/>
      <c r="B58" s="278"/>
      <c r="C58" s="278"/>
      <c r="D58" s="278"/>
      <c r="E58" s="278"/>
      <c r="F58" s="278"/>
      <c r="G58" s="278"/>
      <c r="H58" s="279"/>
      <c r="I58" s="199"/>
      <c r="J58" s="41">
        <v>18</v>
      </c>
      <c r="K58" s="43"/>
      <c r="L58" s="43"/>
      <c r="M58" s="43"/>
      <c r="N58" s="21" t="e">
        <f t="shared" si="7"/>
        <v>#N/A</v>
      </c>
      <c r="O58" s="21"/>
      <c r="P58" s="21"/>
      <c r="Q58" s="74">
        <f t="shared" si="3"/>
        <v>0</v>
      </c>
      <c r="R58" s="222" t="str">
        <f t="shared" si="8"/>
        <v>0.000</v>
      </c>
      <c r="S58" s="194"/>
      <c r="T58" s="41">
        <v>19</v>
      </c>
      <c r="U58" s="43"/>
      <c r="V58" s="43"/>
      <c r="W58" s="43"/>
      <c r="X58" s="21" t="e">
        <f t="shared" si="1"/>
        <v>#N/A</v>
      </c>
      <c r="Y58" s="21"/>
      <c r="Z58" s="21"/>
      <c r="AA58" s="74">
        <f t="shared" si="2"/>
        <v>0</v>
      </c>
      <c r="AB58" s="222" t="str">
        <f t="shared" si="4"/>
        <v>0.000</v>
      </c>
      <c r="AC58" s="194"/>
      <c r="AD58" s="21"/>
      <c r="AE58" s="21"/>
      <c r="AF58" s="21"/>
      <c r="AG58" s="21"/>
      <c r="AH58" s="21"/>
      <c r="AI58" s="21"/>
      <c r="AJ58" s="21"/>
      <c r="AK58" s="21"/>
    </row>
    <row r="59" spans="1:38" ht="20" thickBot="1" x14ac:dyDescent="0.3">
      <c r="A59" s="280"/>
      <c r="B59" s="280"/>
      <c r="C59" s="280"/>
      <c r="D59" s="280"/>
      <c r="E59" s="280"/>
      <c r="F59" s="280"/>
      <c r="G59" s="280"/>
      <c r="H59" s="281"/>
      <c r="I59" s="199"/>
      <c r="J59" s="41">
        <v>19</v>
      </c>
      <c r="K59" s="43"/>
      <c r="L59" s="43"/>
      <c r="M59" s="43"/>
      <c r="N59" s="21" t="e">
        <f t="shared" si="7"/>
        <v>#N/A</v>
      </c>
      <c r="O59" s="21"/>
      <c r="P59" s="21"/>
      <c r="Q59" s="74">
        <f t="shared" si="3"/>
        <v>0</v>
      </c>
      <c r="R59" s="222" t="str">
        <f t="shared" si="8"/>
        <v>0.000</v>
      </c>
      <c r="S59" s="194"/>
      <c r="T59" s="41">
        <v>20</v>
      </c>
      <c r="U59" s="43"/>
      <c r="V59" s="43"/>
      <c r="W59" s="43"/>
      <c r="X59" s="21" t="e">
        <f t="shared" si="1"/>
        <v>#N/A</v>
      </c>
      <c r="Y59" s="21"/>
      <c r="Z59" s="21"/>
      <c r="AA59" s="74">
        <f t="shared" si="2"/>
        <v>0</v>
      </c>
      <c r="AB59" s="222" t="str">
        <f t="shared" si="4"/>
        <v>0.000</v>
      </c>
      <c r="AC59" s="194"/>
      <c r="AD59" s="21"/>
      <c r="AE59" s="21"/>
      <c r="AF59" s="21"/>
      <c r="AG59" s="21"/>
      <c r="AH59" s="21"/>
      <c r="AI59" s="21"/>
      <c r="AJ59" s="21"/>
      <c r="AK59" s="21"/>
    </row>
    <row r="60" spans="1:38" ht="20" thickBot="1" x14ac:dyDescent="0.3">
      <c r="A60" s="84" t="s">
        <v>220</v>
      </c>
      <c r="B60" s="66"/>
      <c r="C60" s="58" t="s">
        <v>87</v>
      </c>
      <c r="D60" s="58" t="s">
        <v>317</v>
      </c>
      <c r="E60" s="58"/>
      <c r="F60" s="58"/>
      <c r="G60" s="58"/>
      <c r="H60" s="59" t="s">
        <v>216</v>
      </c>
      <c r="I60" s="174" t="s">
        <v>565</v>
      </c>
      <c r="J60" s="41">
        <v>20</v>
      </c>
      <c r="K60" s="43"/>
      <c r="L60" s="43"/>
      <c r="M60" s="43"/>
      <c r="N60" s="21" t="e">
        <f t="shared" si="7"/>
        <v>#N/A</v>
      </c>
      <c r="O60" s="21"/>
      <c r="P60" s="21"/>
      <c r="Q60" s="74">
        <f t="shared" si="3"/>
        <v>0</v>
      </c>
      <c r="R60" s="222" t="str">
        <f t="shared" si="8"/>
        <v>0.000</v>
      </c>
      <c r="S60" s="194"/>
      <c r="T60" s="41">
        <v>21</v>
      </c>
      <c r="U60" s="43"/>
      <c r="V60" s="43"/>
      <c r="W60" s="43"/>
      <c r="X60" s="21" t="e">
        <f t="shared" ref="X60:X123" si="11">VLOOKUP(V60,Matrix_véhicule,4,FALSE)</f>
        <v>#N/A</v>
      </c>
      <c r="Y60" s="21"/>
      <c r="Z60" s="21"/>
      <c r="AA60" s="74">
        <f t="shared" si="2"/>
        <v>0</v>
      </c>
      <c r="AB60" s="222" t="str">
        <f t="shared" si="4"/>
        <v>0.000</v>
      </c>
      <c r="AC60" s="194"/>
      <c r="AD60" s="21"/>
      <c r="AE60" s="21"/>
      <c r="AF60" s="21"/>
      <c r="AG60" s="21"/>
      <c r="AH60" s="21"/>
      <c r="AI60" s="21"/>
      <c r="AJ60" s="21"/>
      <c r="AK60" s="21"/>
    </row>
    <row r="61" spans="1:38" ht="20" thickBot="1" x14ac:dyDescent="0.3">
      <c r="A61" s="67" t="s">
        <v>459</v>
      </c>
      <c r="B61" s="68"/>
      <c r="C61" s="67" t="s">
        <v>87</v>
      </c>
      <c r="D61" s="68"/>
      <c r="E61" s="68"/>
      <c r="F61" s="68"/>
      <c r="G61" s="68"/>
      <c r="H61" s="69"/>
      <c r="I61" s="196"/>
      <c r="J61" s="41">
        <v>21</v>
      </c>
      <c r="K61" s="43"/>
      <c r="L61" s="43"/>
      <c r="M61" s="43"/>
      <c r="N61" s="21" t="e">
        <f t="shared" si="7"/>
        <v>#N/A</v>
      </c>
      <c r="O61" s="21"/>
      <c r="P61" s="21"/>
      <c r="Q61" s="74">
        <f t="shared" si="3"/>
        <v>0</v>
      </c>
      <c r="R61" s="222" t="str">
        <f t="shared" si="8"/>
        <v>0.000</v>
      </c>
      <c r="S61" s="194"/>
      <c r="T61" s="41">
        <v>22</v>
      </c>
      <c r="U61" s="43"/>
      <c r="V61" s="43"/>
      <c r="W61" s="43"/>
      <c r="X61" s="21" t="e">
        <f t="shared" si="11"/>
        <v>#N/A</v>
      </c>
      <c r="Y61" s="21"/>
      <c r="Z61" s="21"/>
      <c r="AA61" s="74">
        <f t="shared" si="2"/>
        <v>0</v>
      </c>
      <c r="AB61" s="222" t="str">
        <f t="shared" si="4"/>
        <v>0.000</v>
      </c>
      <c r="AC61" s="194"/>
      <c r="AD61" s="21"/>
      <c r="AE61" s="21"/>
      <c r="AF61" s="21"/>
      <c r="AG61" s="21"/>
      <c r="AH61" s="21"/>
      <c r="AI61" s="21"/>
      <c r="AJ61" s="21"/>
      <c r="AK61" s="21"/>
    </row>
    <row r="62" spans="1:38" ht="19" x14ac:dyDescent="0.25">
      <c r="A62" s="21" t="s">
        <v>307</v>
      </c>
      <c r="B62" s="113"/>
      <c r="C62" s="21" t="s">
        <v>434</v>
      </c>
      <c r="H62" s="74">
        <f>B62*Références!B112</f>
        <v>0</v>
      </c>
      <c r="I62" s="180"/>
      <c r="J62" s="41">
        <v>22</v>
      </c>
      <c r="K62" s="43"/>
      <c r="L62" s="43"/>
      <c r="M62" s="43"/>
      <c r="N62" s="21" t="e">
        <f t="shared" si="7"/>
        <v>#N/A</v>
      </c>
      <c r="O62" s="21"/>
      <c r="P62" s="21"/>
      <c r="Q62" s="74">
        <f t="shared" si="3"/>
        <v>0</v>
      </c>
      <c r="R62" s="222" t="str">
        <f t="shared" si="8"/>
        <v>0.000</v>
      </c>
      <c r="S62" s="194"/>
      <c r="T62" s="41">
        <v>23</v>
      </c>
      <c r="U62" s="43"/>
      <c r="V62" s="43"/>
      <c r="W62" s="43"/>
      <c r="X62" s="21" t="e">
        <f t="shared" si="11"/>
        <v>#N/A</v>
      </c>
      <c r="Y62" s="21"/>
      <c r="Z62" s="21"/>
      <c r="AA62" s="74">
        <f t="shared" si="2"/>
        <v>0</v>
      </c>
      <c r="AB62" s="222" t="str">
        <f t="shared" si="4"/>
        <v>0.000</v>
      </c>
      <c r="AC62" s="194"/>
      <c r="AD62" s="21"/>
      <c r="AE62" s="21"/>
      <c r="AF62" s="21"/>
      <c r="AG62" s="21"/>
      <c r="AH62" s="21"/>
      <c r="AI62" s="21"/>
      <c r="AJ62" s="21"/>
      <c r="AK62" s="21"/>
    </row>
    <row r="63" spans="1:38" ht="19" x14ac:dyDescent="0.25">
      <c r="A63" s="21" t="s">
        <v>308</v>
      </c>
      <c r="B63" s="113"/>
      <c r="C63" s="21" t="s">
        <v>434</v>
      </c>
      <c r="H63" s="74">
        <f>B63*Références!B113</f>
        <v>0</v>
      </c>
      <c r="I63" s="180"/>
      <c r="J63" s="41">
        <v>23</v>
      </c>
      <c r="K63" s="43"/>
      <c r="L63" s="43"/>
      <c r="M63" s="43"/>
      <c r="N63" s="21" t="e">
        <f t="shared" si="7"/>
        <v>#N/A</v>
      </c>
      <c r="O63" s="21"/>
      <c r="P63" s="21"/>
      <c r="Q63" s="74">
        <f t="shared" si="3"/>
        <v>0</v>
      </c>
      <c r="R63" s="222" t="str">
        <f t="shared" si="8"/>
        <v>0.000</v>
      </c>
      <c r="S63" s="194"/>
      <c r="T63" s="41">
        <v>24</v>
      </c>
      <c r="U63" s="43"/>
      <c r="V63" s="43"/>
      <c r="W63" s="43"/>
      <c r="X63" s="21" t="e">
        <f t="shared" si="11"/>
        <v>#N/A</v>
      </c>
      <c r="Y63" s="21"/>
      <c r="Z63" s="21"/>
      <c r="AA63" s="74">
        <f t="shared" si="2"/>
        <v>0</v>
      </c>
      <c r="AB63" s="222" t="str">
        <f t="shared" si="4"/>
        <v>0.000</v>
      </c>
      <c r="AC63" s="194"/>
      <c r="AD63" s="21"/>
      <c r="AE63" s="21"/>
      <c r="AF63" s="21"/>
      <c r="AG63" s="21"/>
      <c r="AH63" s="21"/>
      <c r="AI63" s="21"/>
      <c r="AJ63" s="21"/>
      <c r="AK63" s="21"/>
    </row>
    <row r="64" spans="1:38" ht="19" x14ac:dyDescent="0.25">
      <c r="A64" s="21" t="s">
        <v>311</v>
      </c>
      <c r="B64" s="113"/>
      <c r="C64" s="21" t="s">
        <v>435</v>
      </c>
      <c r="H64" s="74">
        <f>B64*Références!B114</f>
        <v>0</v>
      </c>
      <c r="I64" s="180"/>
      <c r="J64" s="41">
        <v>24</v>
      </c>
      <c r="K64" s="43"/>
      <c r="L64" s="43"/>
      <c r="M64" s="43"/>
      <c r="N64" s="21" t="e">
        <f t="shared" si="7"/>
        <v>#N/A</v>
      </c>
      <c r="O64" s="21"/>
      <c r="P64" s="21"/>
      <c r="Q64" s="74">
        <f t="shared" si="3"/>
        <v>0</v>
      </c>
      <c r="R64" s="222" t="str">
        <f t="shared" si="8"/>
        <v>0.000</v>
      </c>
      <c r="S64" s="194"/>
      <c r="T64" s="41">
        <v>25</v>
      </c>
      <c r="U64" s="43"/>
      <c r="V64" s="43"/>
      <c r="W64" s="43"/>
      <c r="X64" s="21" t="e">
        <f t="shared" si="11"/>
        <v>#N/A</v>
      </c>
      <c r="Y64" s="21"/>
      <c r="Z64" s="21"/>
      <c r="AA64" s="74">
        <f t="shared" si="2"/>
        <v>0</v>
      </c>
      <c r="AB64" s="222" t="str">
        <f t="shared" si="4"/>
        <v>0.000</v>
      </c>
      <c r="AC64" s="194"/>
      <c r="AD64" s="21"/>
      <c r="AE64" s="21"/>
      <c r="AF64" s="21"/>
      <c r="AG64" s="21"/>
      <c r="AH64" s="21"/>
      <c r="AI64" s="21"/>
      <c r="AJ64" s="21"/>
      <c r="AK64" s="21"/>
    </row>
    <row r="65" spans="1:37" ht="19" x14ac:dyDescent="0.25">
      <c r="A65" s="21" t="s">
        <v>362</v>
      </c>
      <c r="B65" s="113"/>
      <c r="C65" s="21" t="s">
        <v>436</v>
      </c>
      <c r="H65" s="74">
        <f>B65*Références!B115</f>
        <v>0</v>
      </c>
      <c r="I65" s="180"/>
      <c r="J65" s="41">
        <v>25</v>
      </c>
      <c r="K65" s="43"/>
      <c r="L65" s="43"/>
      <c r="M65" s="43"/>
      <c r="N65" s="21" t="e">
        <f t="shared" si="7"/>
        <v>#N/A</v>
      </c>
      <c r="O65" s="21"/>
      <c r="P65" s="21"/>
      <c r="Q65" s="74">
        <f t="shared" si="3"/>
        <v>0</v>
      </c>
      <c r="R65" s="222" t="str">
        <f t="shared" si="8"/>
        <v>0.000</v>
      </c>
      <c r="S65" s="194"/>
      <c r="T65" s="41">
        <v>26</v>
      </c>
      <c r="U65" s="43"/>
      <c r="V65" s="43"/>
      <c r="W65" s="43"/>
      <c r="X65" s="21" t="e">
        <f t="shared" si="11"/>
        <v>#N/A</v>
      </c>
      <c r="Y65" s="21"/>
      <c r="Z65" s="21"/>
      <c r="AA65" s="74">
        <f t="shared" si="2"/>
        <v>0</v>
      </c>
      <c r="AB65" s="222" t="str">
        <f t="shared" si="4"/>
        <v>0.000</v>
      </c>
      <c r="AC65" s="194"/>
      <c r="AD65" s="21"/>
      <c r="AE65" s="21"/>
      <c r="AF65" s="21"/>
      <c r="AG65" s="21"/>
      <c r="AH65" s="21"/>
      <c r="AI65" s="21"/>
      <c r="AJ65" s="21"/>
      <c r="AK65" s="21"/>
    </row>
    <row r="66" spans="1:37" ht="19" x14ac:dyDescent="0.25">
      <c r="A66" s="21" t="s">
        <v>309</v>
      </c>
      <c r="B66" s="113"/>
      <c r="C66" s="21" t="s">
        <v>437</v>
      </c>
      <c r="H66" s="74">
        <f>B66*Références!B117</f>
        <v>0</v>
      </c>
      <c r="I66" s="180"/>
      <c r="J66" s="41">
        <v>27</v>
      </c>
      <c r="K66" s="43"/>
      <c r="L66" s="43"/>
      <c r="M66" s="43"/>
      <c r="N66" s="21" t="e">
        <f t="shared" si="7"/>
        <v>#N/A</v>
      </c>
      <c r="O66" s="21"/>
      <c r="P66" s="21"/>
      <c r="Q66" s="74">
        <f t="shared" si="3"/>
        <v>0</v>
      </c>
      <c r="R66" s="222" t="str">
        <f t="shared" si="8"/>
        <v>0.000</v>
      </c>
      <c r="S66" s="194"/>
      <c r="T66" s="41">
        <v>28</v>
      </c>
      <c r="U66" s="43"/>
      <c r="V66" s="43"/>
      <c r="W66" s="43"/>
      <c r="X66" s="21" t="e">
        <f t="shared" si="11"/>
        <v>#N/A</v>
      </c>
      <c r="Y66" s="21"/>
      <c r="Z66" s="21"/>
      <c r="AA66" s="74">
        <f t="shared" si="2"/>
        <v>0</v>
      </c>
      <c r="AB66" s="222" t="str">
        <f t="shared" si="4"/>
        <v>0.000</v>
      </c>
      <c r="AC66" s="194"/>
      <c r="AD66" s="21"/>
      <c r="AE66" s="21"/>
      <c r="AF66" s="21"/>
      <c r="AG66" s="21"/>
      <c r="AH66" s="21"/>
      <c r="AI66" s="21"/>
      <c r="AJ66" s="21"/>
      <c r="AK66" s="21"/>
    </row>
    <row r="67" spans="1:37" ht="19" x14ac:dyDescent="0.25">
      <c r="A67" s="21" t="s">
        <v>363</v>
      </c>
      <c r="B67" s="113"/>
      <c r="C67" s="21" t="s">
        <v>438</v>
      </c>
      <c r="H67" s="74">
        <f>B67*Références!B118</f>
        <v>0</v>
      </c>
      <c r="I67" s="180"/>
      <c r="J67" s="41">
        <v>28</v>
      </c>
      <c r="K67" s="43"/>
      <c r="L67" s="43"/>
      <c r="M67" s="43"/>
      <c r="N67" s="21" t="e">
        <f t="shared" si="7"/>
        <v>#N/A</v>
      </c>
      <c r="O67" s="21"/>
      <c r="P67" s="21"/>
      <c r="Q67" s="74">
        <f t="shared" si="3"/>
        <v>0</v>
      </c>
      <c r="R67" s="222" t="str">
        <f t="shared" si="8"/>
        <v>0.000</v>
      </c>
      <c r="S67" s="194"/>
      <c r="T67" s="41">
        <v>29</v>
      </c>
      <c r="U67" s="43"/>
      <c r="V67" s="43"/>
      <c r="W67" s="43"/>
      <c r="X67" s="21" t="e">
        <f t="shared" si="11"/>
        <v>#N/A</v>
      </c>
      <c r="Y67" s="21"/>
      <c r="Z67" s="21"/>
      <c r="AA67" s="74">
        <f t="shared" si="2"/>
        <v>0</v>
      </c>
      <c r="AB67" s="222" t="str">
        <f t="shared" si="4"/>
        <v>0.000</v>
      </c>
      <c r="AC67" s="194"/>
      <c r="AD67" s="21"/>
      <c r="AE67" s="21"/>
      <c r="AF67" s="21"/>
      <c r="AG67" s="21"/>
      <c r="AH67" s="21"/>
      <c r="AI67" s="21"/>
      <c r="AJ67" s="21"/>
      <c r="AK67" s="21"/>
    </row>
    <row r="68" spans="1:37" ht="19" x14ac:dyDescent="0.25">
      <c r="A68" s="21" t="s">
        <v>365</v>
      </c>
      <c r="B68" s="113"/>
      <c r="C68" s="21" t="s">
        <v>438</v>
      </c>
      <c r="H68" s="74">
        <f>B68*Références!B119</f>
        <v>0</v>
      </c>
      <c r="I68" s="180"/>
      <c r="J68" s="41">
        <v>29</v>
      </c>
      <c r="K68" s="43"/>
      <c r="L68" s="43"/>
      <c r="M68" s="43"/>
      <c r="N68" s="21" t="e">
        <f t="shared" si="7"/>
        <v>#N/A</v>
      </c>
      <c r="O68" s="21"/>
      <c r="P68" s="21"/>
      <c r="Q68" s="74">
        <f t="shared" si="3"/>
        <v>0</v>
      </c>
      <c r="R68" s="222" t="str">
        <f t="shared" si="8"/>
        <v>0.000</v>
      </c>
      <c r="S68" s="194"/>
      <c r="T68" s="41">
        <v>30</v>
      </c>
      <c r="U68" s="43"/>
      <c r="V68" s="43"/>
      <c r="W68" s="43"/>
      <c r="X68" s="21" t="e">
        <f t="shared" si="11"/>
        <v>#N/A</v>
      </c>
      <c r="Y68" s="21"/>
      <c r="Z68" s="21"/>
      <c r="AA68" s="74">
        <f t="shared" si="2"/>
        <v>0</v>
      </c>
      <c r="AB68" s="222" t="str">
        <f t="shared" si="4"/>
        <v>0.000</v>
      </c>
      <c r="AC68" s="194"/>
      <c r="AD68" s="21"/>
      <c r="AE68" s="21"/>
      <c r="AF68" s="21"/>
      <c r="AG68" s="21"/>
      <c r="AH68" s="21"/>
      <c r="AI68" s="21"/>
      <c r="AJ68" s="21"/>
      <c r="AK68" s="21"/>
    </row>
    <row r="69" spans="1:37" ht="20" thickBot="1" x14ac:dyDescent="0.3">
      <c r="A69" s="21" t="s">
        <v>398</v>
      </c>
      <c r="B69" s="113"/>
      <c r="C69" s="21" t="s">
        <v>439</v>
      </c>
      <c r="H69" s="74">
        <f>B69*Références!C104</f>
        <v>0</v>
      </c>
      <c r="I69" s="180"/>
      <c r="J69" s="41">
        <v>30</v>
      </c>
      <c r="K69" s="43"/>
      <c r="L69" s="43"/>
      <c r="M69" s="43"/>
      <c r="N69" s="21"/>
      <c r="O69" s="21"/>
      <c r="P69" s="21"/>
      <c r="Q69" s="74">
        <f t="shared" si="3"/>
        <v>0</v>
      </c>
      <c r="R69" s="222" t="str">
        <f t="shared" si="8"/>
        <v>0.000</v>
      </c>
      <c r="S69" s="194"/>
      <c r="T69" s="41">
        <v>31</v>
      </c>
      <c r="U69" s="43"/>
      <c r="V69" s="43"/>
      <c r="W69" s="43"/>
      <c r="X69" s="21"/>
      <c r="Y69" s="21"/>
      <c r="Z69" s="21"/>
      <c r="AA69" s="74">
        <f t="shared" si="2"/>
        <v>0</v>
      </c>
      <c r="AB69" s="222" t="str">
        <f t="shared" si="4"/>
        <v>0.000</v>
      </c>
      <c r="AC69" s="194"/>
      <c r="AD69" s="21"/>
      <c r="AE69" s="21"/>
      <c r="AF69" s="21"/>
      <c r="AG69" s="21"/>
      <c r="AH69" s="21"/>
      <c r="AI69" s="21"/>
      <c r="AJ69" s="21"/>
      <c r="AK69" s="21"/>
    </row>
    <row r="70" spans="1:37" ht="22" thickBot="1" x14ac:dyDescent="0.3">
      <c r="A70" s="87" t="s">
        <v>460</v>
      </c>
      <c r="B70" s="68"/>
      <c r="C70" s="67" t="s">
        <v>87</v>
      </c>
      <c r="D70" s="67" t="s">
        <v>317</v>
      </c>
      <c r="E70" s="68"/>
      <c r="F70" s="68"/>
      <c r="G70" s="88"/>
      <c r="H70" s="89" t="s">
        <v>216</v>
      </c>
      <c r="I70" s="226" t="s">
        <v>565</v>
      </c>
      <c r="J70" s="41">
        <v>31</v>
      </c>
      <c r="K70" s="43"/>
      <c r="L70" s="43"/>
      <c r="M70" s="43"/>
      <c r="N70" s="21" t="e">
        <f t="shared" si="7"/>
        <v>#N/A</v>
      </c>
      <c r="O70" s="21"/>
      <c r="P70" s="21"/>
      <c r="Q70" s="74">
        <f t="shared" si="3"/>
        <v>0</v>
      </c>
      <c r="R70" s="222" t="str">
        <f t="shared" si="8"/>
        <v>0.000</v>
      </c>
      <c r="S70" s="194"/>
      <c r="T70" s="41">
        <v>32</v>
      </c>
      <c r="U70" s="43"/>
      <c r="V70" s="43"/>
      <c r="W70" s="43"/>
      <c r="X70" s="21" t="e">
        <f t="shared" si="11"/>
        <v>#N/A</v>
      </c>
      <c r="Y70" s="21"/>
      <c r="Z70" s="21"/>
      <c r="AA70" s="74">
        <f t="shared" si="2"/>
        <v>0</v>
      </c>
      <c r="AB70" s="222" t="str">
        <f t="shared" si="4"/>
        <v>0.000</v>
      </c>
      <c r="AC70" s="194"/>
      <c r="AD70" s="21"/>
      <c r="AE70" s="21"/>
      <c r="AF70" s="21"/>
      <c r="AG70" s="21"/>
      <c r="AH70" s="21"/>
      <c r="AI70" s="21"/>
      <c r="AJ70" s="21"/>
      <c r="AK70" s="21"/>
    </row>
    <row r="71" spans="1:37" ht="19" x14ac:dyDescent="0.25">
      <c r="A71" s="90" t="s">
        <v>159</v>
      </c>
      <c r="B71" s="28"/>
      <c r="C71" s="21" t="s">
        <v>439</v>
      </c>
      <c r="D71" s="113"/>
      <c r="E71" s="21"/>
      <c r="F71" s="21"/>
      <c r="G71" s="21"/>
      <c r="H71" s="74">
        <f>IF(D71&gt;=0.1, B71*Références!B121/D71, IF(D71="", B71*Références!B121,""))</f>
        <v>0</v>
      </c>
      <c r="I71" s="181"/>
      <c r="J71" s="41">
        <v>32</v>
      </c>
      <c r="K71" s="43"/>
      <c r="L71" s="43"/>
      <c r="M71" s="43"/>
      <c r="N71" s="21" t="e">
        <f t="shared" si="7"/>
        <v>#N/A</v>
      </c>
      <c r="O71" s="21"/>
      <c r="P71" s="21"/>
      <c r="Q71" s="74">
        <f t="shared" si="3"/>
        <v>0</v>
      </c>
      <c r="R71" s="222" t="str">
        <f t="shared" si="8"/>
        <v>0.000</v>
      </c>
      <c r="S71" s="194"/>
      <c r="T71" s="41">
        <v>33</v>
      </c>
      <c r="U71" s="43"/>
      <c r="V71" s="43"/>
      <c r="W71" s="43"/>
      <c r="X71" s="21" t="e">
        <f t="shared" si="11"/>
        <v>#N/A</v>
      </c>
      <c r="Y71" s="21"/>
      <c r="Z71" s="21"/>
      <c r="AA71" s="74">
        <f t="shared" si="2"/>
        <v>0</v>
      </c>
      <c r="AB71" s="222" t="str">
        <f t="shared" si="4"/>
        <v>0.000</v>
      </c>
      <c r="AC71" s="194"/>
      <c r="AD71" s="21"/>
      <c r="AE71" s="21"/>
      <c r="AF71" s="21"/>
      <c r="AG71" s="21"/>
      <c r="AH71" s="21"/>
      <c r="AI71" s="21"/>
      <c r="AJ71" s="21"/>
      <c r="AK71" s="21"/>
    </row>
    <row r="72" spans="1:37" ht="19" x14ac:dyDescent="0.25">
      <c r="A72" s="90" t="s">
        <v>158</v>
      </c>
      <c r="B72" s="28"/>
      <c r="C72" s="21" t="s">
        <v>439</v>
      </c>
      <c r="D72" s="113"/>
      <c r="E72" s="21"/>
      <c r="F72" s="21"/>
      <c r="G72" s="21"/>
      <c r="H72" s="74">
        <f>IF(D72&gt;=0.1, B72*Références!B122/D72, IF(D72="", B72*Références!B122,""))</f>
        <v>0</v>
      </c>
      <c r="I72" s="180"/>
      <c r="J72" s="41">
        <v>33</v>
      </c>
      <c r="K72" s="43"/>
      <c r="L72" s="43"/>
      <c r="M72" s="43"/>
      <c r="N72" s="21" t="e">
        <f t="shared" si="7"/>
        <v>#N/A</v>
      </c>
      <c r="O72" s="21"/>
      <c r="P72" s="21"/>
      <c r="Q72" s="74">
        <f t="shared" si="3"/>
        <v>0</v>
      </c>
      <c r="R72" s="222" t="str">
        <f t="shared" si="8"/>
        <v>0.000</v>
      </c>
      <c r="S72" s="194"/>
      <c r="T72" s="41">
        <v>34</v>
      </c>
      <c r="U72" s="43"/>
      <c r="V72" s="43"/>
      <c r="W72" s="43"/>
      <c r="X72" s="21" t="e">
        <f t="shared" si="11"/>
        <v>#N/A</v>
      </c>
      <c r="Y72" s="21"/>
      <c r="Z72" s="21"/>
      <c r="AA72" s="74">
        <f t="shared" ref="AA72:AA103" si="12">IFERROR(U72*W72*VLOOKUP(V72,Matrix_véhicule,3,FALSE)/IF(X72=1,1,U72),0)</f>
        <v>0</v>
      </c>
      <c r="AB72" s="222" t="str">
        <f t="shared" si="4"/>
        <v>0.000</v>
      </c>
      <c r="AC72" s="194"/>
      <c r="AD72" s="21"/>
      <c r="AE72" s="21"/>
      <c r="AF72" s="21"/>
      <c r="AG72" s="21"/>
      <c r="AH72" s="21"/>
      <c r="AI72" s="21"/>
      <c r="AJ72" s="21"/>
      <c r="AK72" s="21"/>
    </row>
    <row r="73" spans="1:37" ht="19" x14ac:dyDescent="0.25">
      <c r="A73" s="21" t="s">
        <v>368</v>
      </c>
      <c r="B73" s="28"/>
      <c r="C73" s="21" t="s">
        <v>439</v>
      </c>
      <c r="D73" s="113"/>
      <c r="E73" s="21"/>
      <c r="F73" s="21"/>
      <c r="G73" s="21"/>
      <c r="H73" s="74">
        <f>IF(D73&gt;=0.1, B73*Références!B123/D73, IF(D73="", B73*Références!B123,""))</f>
        <v>0</v>
      </c>
      <c r="I73" s="180"/>
      <c r="J73" s="41">
        <v>34</v>
      </c>
      <c r="K73" s="43"/>
      <c r="L73" s="43"/>
      <c r="M73" s="43"/>
      <c r="N73" s="21" t="e">
        <f t="shared" si="7"/>
        <v>#N/A</v>
      </c>
      <c r="O73" s="21"/>
      <c r="P73" s="21"/>
      <c r="Q73" s="74">
        <f t="shared" ref="Q73:Q104" si="13">IFERROR(K73*M73*VLOOKUP(L73,Matrix_véhicule,3,FALSE)/IF(N73=1,1,K73),0)</f>
        <v>0</v>
      </c>
      <c r="R73" s="222" t="str">
        <f t="shared" si="8"/>
        <v>0.000</v>
      </c>
      <c r="S73" s="194"/>
      <c r="T73" s="41">
        <v>35</v>
      </c>
      <c r="U73" s="43"/>
      <c r="V73" s="43"/>
      <c r="W73" s="43"/>
      <c r="X73" s="21" t="e">
        <f t="shared" si="11"/>
        <v>#N/A</v>
      </c>
      <c r="Y73" s="21"/>
      <c r="Z73" s="21"/>
      <c r="AA73" s="74">
        <f t="shared" si="12"/>
        <v>0</v>
      </c>
      <c r="AB73" s="222" t="str">
        <f t="shared" si="4"/>
        <v>0.000</v>
      </c>
      <c r="AC73" s="194"/>
      <c r="AD73" s="21"/>
      <c r="AE73" s="21"/>
      <c r="AF73" s="21"/>
      <c r="AG73" s="21"/>
      <c r="AH73" s="21"/>
      <c r="AI73" s="21"/>
      <c r="AJ73" s="21"/>
      <c r="AK73" s="21"/>
    </row>
    <row r="74" spans="1:37" ht="19" x14ac:dyDescent="0.25">
      <c r="A74" s="21" t="s">
        <v>369</v>
      </c>
      <c r="B74" s="28"/>
      <c r="C74" s="21" t="s">
        <v>439</v>
      </c>
      <c r="D74" s="113"/>
      <c r="E74" s="21"/>
      <c r="F74" s="21"/>
      <c r="G74" s="21"/>
      <c r="H74" s="74">
        <f>IF(D74&gt;=0.1, B74*Références!B124/D74, IF(D74="", B74*Références!B124,""))</f>
        <v>0</v>
      </c>
      <c r="I74" s="180"/>
      <c r="J74" s="41">
        <v>35</v>
      </c>
      <c r="K74" s="43"/>
      <c r="L74" s="43"/>
      <c r="M74" s="43"/>
      <c r="N74" s="21" t="e">
        <f t="shared" si="7"/>
        <v>#N/A</v>
      </c>
      <c r="O74" s="21"/>
      <c r="P74" s="21"/>
      <c r="Q74" s="74">
        <f t="shared" si="13"/>
        <v>0</v>
      </c>
      <c r="R74" s="222" t="str">
        <f t="shared" si="8"/>
        <v>0.000</v>
      </c>
      <c r="S74" s="194"/>
      <c r="T74" s="41">
        <v>36</v>
      </c>
      <c r="U74" s="43"/>
      <c r="V74" s="43"/>
      <c r="W74" s="43"/>
      <c r="X74" s="21" t="e">
        <f t="shared" si="11"/>
        <v>#N/A</v>
      </c>
      <c r="Y74" s="21"/>
      <c r="Z74" s="21"/>
      <c r="AA74" s="74">
        <f t="shared" si="12"/>
        <v>0</v>
      </c>
      <c r="AB74" s="222" t="str">
        <f t="shared" si="4"/>
        <v>0.000</v>
      </c>
      <c r="AC74" s="194"/>
      <c r="AD74" s="21"/>
      <c r="AE74" s="21"/>
      <c r="AF74" s="21"/>
      <c r="AG74" s="21"/>
      <c r="AH74" s="21"/>
      <c r="AI74" s="21"/>
      <c r="AJ74" s="21"/>
      <c r="AK74" s="21"/>
    </row>
    <row r="75" spans="1:37" ht="19" x14ac:dyDescent="0.25">
      <c r="A75" s="21" t="s">
        <v>370</v>
      </c>
      <c r="B75" s="28"/>
      <c r="C75" s="21" t="s">
        <v>439</v>
      </c>
      <c r="D75" s="113"/>
      <c r="E75" s="21"/>
      <c r="F75" s="21"/>
      <c r="G75" s="21"/>
      <c r="H75" s="74">
        <f>IF(D75&gt;=0.1, B75*Références!B125/D75, IF(D75="", B75*Références!B125,""))</f>
        <v>0</v>
      </c>
      <c r="I75" s="180"/>
      <c r="J75" s="41">
        <v>36</v>
      </c>
      <c r="K75" s="43"/>
      <c r="L75" s="43"/>
      <c r="M75" s="43"/>
      <c r="N75" s="21" t="e">
        <f t="shared" si="7"/>
        <v>#N/A</v>
      </c>
      <c r="O75" s="21"/>
      <c r="P75" s="21"/>
      <c r="Q75" s="74">
        <f t="shared" si="13"/>
        <v>0</v>
      </c>
      <c r="R75" s="222" t="str">
        <f t="shared" si="8"/>
        <v>0.000</v>
      </c>
      <c r="S75" s="194"/>
      <c r="T75" s="41">
        <v>37</v>
      </c>
      <c r="U75" s="43"/>
      <c r="V75" s="43"/>
      <c r="W75" s="43"/>
      <c r="X75" s="21" t="e">
        <f t="shared" si="11"/>
        <v>#N/A</v>
      </c>
      <c r="Y75" s="21"/>
      <c r="Z75" s="21"/>
      <c r="AA75" s="74">
        <f t="shared" si="12"/>
        <v>0</v>
      </c>
      <c r="AB75" s="222" t="str">
        <f t="shared" si="4"/>
        <v>0.000</v>
      </c>
      <c r="AC75" s="194"/>
      <c r="AD75" s="21"/>
      <c r="AE75" s="21"/>
      <c r="AF75" s="21"/>
      <c r="AG75" s="21"/>
      <c r="AH75" s="21"/>
      <c r="AI75" s="21"/>
      <c r="AJ75" s="21"/>
      <c r="AK75" s="21"/>
    </row>
    <row r="76" spans="1:37" ht="19" x14ac:dyDescent="0.25">
      <c r="A76" s="21" t="s">
        <v>371</v>
      </c>
      <c r="B76" s="28"/>
      <c r="C76" s="21" t="s">
        <v>439</v>
      </c>
      <c r="D76" s="113"/>
      <c r="E76" s="21"/>
      <c r="F76" s="21"/>
      <c r="G76" s="21"/>
      <c r="H76" s="74">
        <f>IF(D76&gt;=0.1, B76*Références!B126/D76, IF(D76="", B76*Références!B126,""))</f>
        <v>0</v>
      </c>
      <c r="I76" s="180"/>
      <c r="J76" s="41">
        <v>37</v>
      </c>
      <c r="K76" s="43"/>
      <c r="L76" s="43"/>
      <c r="M76" s="43"/>
      <c r="N76" s="21" t="e">
        <f t="shared" si="7"/>
        <v>#N/A</v>
      </c>
      <c r="O76" s="21"/>
      <c r="P76" s="21"/>
      <c r="Q76" s="74">
        <f t="shared" si="13"/>
        <v>0</v>
      </c>
      <c r="R76" s="222" t="str">
        <f t="shared" si="8"/>
        <v>0.000</v>
      </c>
      <c r="S76" s="194"/>
      <c r="T76" s="41">
        <v>38</v>
      </c>
      <c r="U76" s="43"/>
      <c r="V76" s="43"/>
      <c r="W76" s="43"/>
      <c r="X76" s="21" t="e">
        <f t="shared" si="11"/>
        <v>#N/A</v>
      </c>
      <c r="Y76" s="21"/>
      <c r="Z76" s="21"/>
      <c r="AA76" s="74">
        <f t="shared" si="12"/>
        <v>0</v>
      </c>
      <c r="AB76" s="222" t="str">
        <f t="shared" si="4"/>
        <v>0.000</v>
      </c>
      <c r="AC76" s="194"/>
      <c r="AD76" s="21"/>
      <c r="AE76" s="21"/>
      <c r="AF76" s="21"/>
      <c r="AG76" s="21"/>
      <c r="AH76" s="21"/>
      <c r="AI76" s="21"/>
      <c r="AJ76" s="21"/>
      <c r="AK76" s="21"/>
    </row>
    <row r="77" spans="1:37" ht="19" x14ac:dyDescent="0.25">
      <c r="A77" s="90" t="s">
        <v>162</v>
      </c>
      <c r="B77" s="28"/>
      <c r="C77" s="21" t="s">
        <v>439</v>
      </c>
      <c r="D77" s="113"/>
      <c r="E77" s="21"/>
      <c r="F77" s="21"/>
      <c r="G77" s="21"/>
      <c r="H77" s="74">
        <f>IF(D77&gt;=0.1, B77*Références!B127/D77, IF(D77="", B77*Références!B127,""))</f>
        <v>0</v>
      </c>
      <c r="I77" s="180"/>
      <c r="J77" s="41">
        <v>38</v>
      </c>
      <c r="K77" s="43"/>
      <c r="L77" s="43"/>
      <c r="M77" s="43"/>
      <c r="N77" s="21" t="e">
        <f t="shared" si="7"/>
        <v>#N/A</v>
      </c>
      <c r="O77" s="21"/>
      <c r="P77" s="21"/>
      <c r="Q77" s="74">
        <f t="shared" si="13"/>
        <v>0</v>
      </c>
      <c r="R77" s="222" t="str">
        <f t="shared" si="8"/>
        <v>0.000</v>
      </c>
      <c r="S77" s="194"/>
      <c r="T77" s="41">
        <v>39</v>
      </c>
      <c r="U77" s="43"/>
      <c r="V77" s="43"/>
      <c r="W77" s="43"/>
      <c r="X77" s="21" t="e">
        <f t="shared" si="11"/>
        <v>#N/A</v>
      </c>
      <c r="Y77" s="21"/>
      <c r="Z77" s="21"/>
      <c r="AA77" s="74">
        <f t="shared" si="12"/>
        <v>0</v>
      </c>
      <c r="AB77" s="222" t="str">
        <f t="shared" si="4"/>
        <v>0.000</v>
      </c>
      <c r="AC77" s="194"/>
      <c r="AD77" s="21"/>
      <c r="AE77" s="21"/>
      <c r="AF77" s="21"/>
      <c r="AG77" s="21"/>
      <c r="AH77" s="21"/>
      <c r="AI77" s="21"/>
      <c r="AJ77" s="21"/>
      <c r="AK77" s="21"/>
    </row>
    <row r="78" spans="1:37" ht="19" x14ac:dyDescent="0.25">
      <c r="A78" s="90" t="s">
        <v>163</v>
      </c>
      <c r="B78" s="28"/>
      <c r="C78" s="21" t="s">
        <v>439</v>
      </c>
      <c r="D78" s="113"/>
      <c r="E78" s="21"/>
      <c r="F78" s="21"/>
      <c r="G78" s="21"/>
      <c r="H78" s="74">
        <f>IF(D78&gt;=0.1, B78*Références!B128/D78, IF(D78="", B78*Références!B128,""))</f>
        <v>0</v>
      </c>
      <c r="I78" s="180"/>
      <c r="J78" s="41">
        <v>39</v>
      </c>
      <c r="K78" s="43"/>
      <c r="L78" s="43"/>
      <c r="M78" s="43"/>
      <c r="N78" s="21" t="e">
        <f t="shared" si="7"/>
        <v>#N/A</v>
      </c>
      <c r="O78" s="21"/>
      <c r="P78" s="21"/>
      <c r="Q78" s="74">
        <f t="shared" si="13"/>
        <v>0</v>
      </c>
      <c r="R78" s="222" t="str">
        <f t="shared" si="8"/>
        <v>0.000</v>
      </c>
      <c r="S78" s="194"/>
      <c r="T78" s="41">
        <v>40</v>
      </c>
      <c r="U78" s="43"/>
      <c r="V78" s="43"/>
      <c r="W78" s="43"/>
      <c r="X78" s="21" t="e">
        <f t="shared" si="11"/>
        <v>#N/A</v>
      </c>
      <c r="Y78" s="21"/>
      <c r="Z78" s="21"/>
      <c r="AA78" s="74">
        <f t="shared" si="12"/>
        <v>0</v>
      </c>
      <c r="AB78" s="222" t="str">
        <f t="shared" si="4"/>
        <v>0.000</v>
      </c>
      <c r="AC78" s="194"/>
      <c r="AD78" s="21"/>
      <c r="AE78" s="21"/>
      <c r="AF78" s="21"/>
      <c r="AG78" s="21"/>
      <c r="AH78" s="21"/>
      <c r="AI78" s="21"/>
      <c r="AJ78" s="21"/>
      <c r="AK78" s="21"/>
    </row>
    <row r="79" spans="1:37" ht="19" x14ac:dyDescent="0.25">
      <c r="A79" s="90" t="s">
        <v>164</v>
      </c>
      <c r="B79" s="28"/>
      <c r="C79" s="21" t="s">
        <v>439</v>
      </c>
      <c r="D79" s="113"/>
      <c r="E79" s="21"/>
      <c r="F79" s="21"/>
      <c r="G79" s="21"/>
      <c r="H79" s="74">
        <f>IF(D79&gt;=0.1, B79*Références!B129/D79, IF(D79="", B79*Références!B129,""))</f>
        <v>0</v>
      </c>
      <c r="I79" s="180"/>
      <c r="J79" s="41">
        <v>40</v>
      </c>
      <c r="K79" s="43"/>
      <c r="L79" s="43"/>
      <c r="M79" s="43"/>
      <c r="N79" s="21" t="e">
        <f t="shared" si="7"/>
        <v>#N/A</v>
      </c>
      <c r="O79" s="21"/>
      <c r="P79" s="21"/>
      <c r="Q79" s="74">
        <f t="shared" si="13"/>
        <v>0</v>
      </c>
      <c r="R79" s="222" t="str">
        <f t="shared" si="8"/>
        <v>0.000</v>
      </c>
      <c r="S79" s="194"/>
      <c r="T79" s="41">
        <v>41</v>
      </c>
      <c r="U79" s="43"/>
      <c r="V79" s="43"/>
      <c r="W79" s="43"/>
      <c r="X79" s="21" t="e">
        <f t="shared" si="11"/>
        <v>#N/A</v>
      </c>
      <c r="Y79" s="21"/>
      <c r="Z79" s="21"/>
      <c r="AA79" s="74">
        <f t="shared" si="12"/>
        <v>0</v>
      </c>
      <c r="AB79" s="222" t="str">
        <f t="shared" si="4"/>
        <v>0.000</v>
      </c>
      <c r="AC79" s="194"/>
      <c r="AD79" s="21"/>
      <c r="AE79" s="21"/>
      <c r="AF79" s="21"/>
      <c r="AG79" s="21"/>
      <c r="AH79" s="21"/>
      <c r="AI79" s="21"/>
      <c r="AJ79" s="21"/>
      <c r="AK79" s="21"/>
    </row>
    <row r="80" spans="1:37" ht="19" x14ac:dyDescent="0.25">
      <c r="A80" s="90" t="s">
        <v>169</v>
      </c>
      <c r="B80" s="28"/>
      <c r="C80" s="21" t="s">
        <v>439</v>
      </c>
      <c r="D80" s="113"/>
      <c r="E80" s="21"/>
      <c r="F80" s="21"/>
      <c r="G80" s="21"/>
      <c r="H80" s="74">
        <f>IF(D80&gt;=0.1, B80*Références!B130/D80, IF(D80="", B80*Références!B130,""))</f>
        <v>0</v>
      </c>
      <c r="I80" s="180"/>
      <c r="J80" s="41">
        <v>41</v>
      </c>
      <c r="K80" s="43"/>
      <c r="L80" s="43"/>
      <c r="M80" s="43"/>
      <c r="N80" s="21" t="e">
        <f t="shared" si="7"/>
        <v>#N/A</v>
      </c>
      <c r="O80" s="21"/>
      <c r="P80" s="21"/>
      <c r="Q80" s="74">
        <f t="shared" si="13"/>
        <v>0</v>
      </c>
      <c r="R80" s="222" t="str">
        <f t="shared" si="8"/>
        <v>0.000</v>
      </c>
      <c r="S80" s="194"/>
      <c r="T80" s="41">
        <v>42</v>
      </c>
      <c r="U80" s="43"/>
      <c r="V80" s="43"/>
      <c r="W80" s="43"/>
      <c r="X80" s="21" t="e">
        <f t="shared" si="11"/>
        <v>#N/A</v>
      </c>
      <c r="Y80" s="21"/>
      <c r="Z80" s="21"/>
      <c r="AA80" s="74">
        <f t="shared" si="12"/>
        <v>0</v>
      </c>
      <c r="AB80" s="222" t="str">
        <f t="shared" si="4"/>
        <v>0.000</v>
      </c>
      <c r="AC80" s="194"/>
      <c r="AD80" s="21"/>
      <c r="AE80" s="21"/>
      <c r="AF80" s="21"/>
      <c r="AG80" s="21"/>
      <c r="AH80" s="21"/>
      <c r="AI80" s="21"/>
      <c r="AJ80" s="21"/>
      <c r="AK80" s="21"/>
    </row>
    <row r="81" spans="1:37" ht="19" x14ac:dyDescent="0.25">
      <c r="A81" s="90" t="s">
        <v>170</v>
      </c>
      <c r="B81" s="28"/>
      <c r="C81" s="21" t="s">
        <v>439</v>
      </c>
      <c r="D81" s="113"/>
      <c r="E81" s="21"/>
      <c r="F81" s="21"/>
      <c r="G81" s="21"/>
      <c r="H81" s="74">
        <f>IF(D81&gt;=0.1, B81*Références!B131/D81, IF(D81="", B81*Références!B131,""))</f>
        <v>0</v>
      </c>
      <c r="I81" s="180"/>
      <c r="J81" s="41">
        <v>42</v>
      </c>
      <c r="K81" s="43"/>
      <c r="L81" s="43"/>
      <c r="M81" s="43"/>
      <c r="N81" s="21" t="e">
        <f t="shared" si="7"/>
        <v>#N/A</v>
      </c>
      <c r="O81" s="21"/>
      <c r="P81" s="21"/>
      <c r="Q81" s="74">
        <f t="shared" si="13"/>
        <v>0</v>
      </c>
      <c r="R81" s="222" t="str">
        <f t="shared" si="8"/>
        <v>0.000</v>
      </c>
      <c r="S81" s="194"/>
      <c r="T81" s="41">
        <v>43</v>
      </c>
      <c r="U81" s="43"/>
      <c r="V81" s="43"/>
      <c r="W81" s="43"/>
      <c r="X81" s="21" t="e">
        <f t="shared" si="11"/>
        <v>#N/A</v>
      </c>
      <c r="Y81" s="21"/>
      <c r="Z81" s="21"/>
      <c r="AA81" s="74">
        <f t="shared" si="12"/>
        <v>0</v>
      </c>
      <c r="AB81" s="222" t="str">
        <f t="shared" si="4"/>
        <v>0.000</v>
      </c>
      <c r="AC81" s="194"/>
      <c r="AD81" s="21"/>
      <c r="AE81" s="21"/>
      <c r="AF81" s="21"/>
      <c r="AG81" s="21"/>
      <c r="AH81" s="21"/>
      <c r="AI81" s="21"/>
      <c r="AJ81" s="21"/>
      <c r="AK81" s="21"/>
    </row>
    <row r="82" spans="1:37" ht="19" x14ac:dyDescent="0.25">
      <c r="A82" s="91" t="s">
        <v>372</v>
      </c>
      <c r="B82" s="28"/>
      <c r="C82" s="21" t="s">
        <v>439</v>
      </c>
      <c r="D82" s="113"/>
      <c r="E82" s="21"/>
      <c r="F82" s="21"/>
      <c r="G82" s="21"/>
      <c r="H82" s="74">
        <f>IF(D82&gt;=0.1, B82*Références!B132/D82, IF(D82="", B82*Références!B132,""))</f>
        <v>0</v>
      </c>
      <c r="I82" s="180"/>
      <c r="J82" s="41">
        <v>43</v>
      </c>
      <c r="K82" s="43"/>
      <c r="L82" s="43"/>
      <c r="M82" s="43"/>
      <c r="N82" s="21" t="e">
        <f t="shared" si="7"/>
        <v>#N/A</v>
      </c>
      <c r="O82" s="21"/>
      <c r="P82" s="21"/>
      <c r="Q82" s="74">
        <f t="shared" si="13"/>
        <v>0</v>
      </c>
      <c r="R82" s="222" t="str">
        <f t="shared" si="8"/>
        <v>0.000</v>
      </c>
      <c r="S82" s="194"/>
      <c r="T82" s="41">
        <v>44</v>
      </c>
      <c r="U82" s="43"/>
      <c r="V82" s="43"/>
      <c r="W82" s="43"/>
      <c r="X82" s="21" t="e">
        <f t="shared" si="11"/>
        <v>#N/A</v>
      </c>
      <c r="Y82" s="21"/>
      <c r="Z82" s="21"/>
      <c r="AA82" s="74">
        <f t="shared" si="12"/>
        <v>0</v>
      </c>
      <c r="AB82" s="222" t="str">
        <f t="shared" si="4"/>
        <v>0.000</v>
      </c>
      <c r="AC82" s="194"/>
      <c r="AD82" s="21"/>
      <c r="AE82" s="21"/>
      <c r="AF82" s="21"/>
      <c r="AG82" s="21"/>
      <c r="AH82" s="21"/>
      <c r="AI82" s="21"/>
      <c r="AJ82" s="21"/>
      <c r="AK82" s="21"/>
    </row>
    <row r="83" spans="1:37" ht="19" x14ac:dyDescent="0.25">
      <c r="A83" s="90" t="s">
        <v>160</v>
      </c>
      <c r="B83" s="28"/>
      <c r="C83" s="21" t="s">
        <v>439</v>
      </c>
      <c r="D83" s="113"/>
      <c r="E83" s="21"/>
      <c r="F83" s="21"/>
      <c r="G83" s="21"/>
      <c r="H83" s="74">
        <f>IF(D83&gt;=0.1, B83*Références!B133/D83, IF(D83="", B83*Références!B133,""))</f>
        <v>0</v>
      </c>
      <c r="I83" s="180"/>
      <c r="J83" s="41">
        <v>44</v>
      </c>
      <c r="K83" s="43"/>
      <c r="L83" s="43"/>
      <c r="M83" s="43"/>
      <c r="N83" s="21" t="e">
        <f t="shared" si="7"/>
        <v>#N/A</v>
      </c>
      <c r="O83" s="21"/>
      <c r="P83" s="21"/>
      <c r="Q83" s="74">
        <f t="shared" si="13"/>
        <v>0</v>
      </c>
      <c r="R83" s="222" t="str">
        <f t="shared" si="8"/>
        <v>0.000</v>
      </c>
      <c r="S83" s="194"/>
      <c r="T83" s="41">
        <v>45</v>
      </c>
      <c r="U83" s="43"/>
      <c r="V83" s="43"/>
      <c r="W83" s="43"/>
      <c r="X83" s="21" t="e">
        <f t="shared" si="11"/>
        <v>#N/A</v>
      </c>
      <c r="Y83" s="21"/>
      <c r="Z83" s="21"/>
      <c r="AA83" s="74">
        <f t="shared" si="12"/>
        <v>0</v>
      </c>
      <c r="AB83" s="222" t="str">
        <f t="shared" si="4"/>
        <v>0.000</v>
      </c>
      <c r="AC83" s="194"/>
      <c r="AD83" s="21"/>
      <c r="AE83" s="21"/>
      <c r="AF83" s="21"/>
      <c r="AG83" s="21"/>
      <c r="AH83" s="21"/>
      <c r="AI83" s="21"/>
      <c r="AJ83" s="21"/>
      <c r="AK83" s="21"/>
    </row>
    <row r="84" spans="1:37" ht="20" thickBot="1" x14ac:dyDescent="0.3">
      <c r="A84" s="90" t="s">
        <v>161</v>
      </c>
      <c r="B84" s="28"/>
      <c r="C84" s="21" t="s">
        <v>439</v>
      </c>
      <c r="D84" s="113"/>
      <c r="E84" s="21"/>
      <c r="F84" s="21"/>
      <c r="G84" s="21"/>
      <c r="H84" s="74">
        <f>IF(D84&gt;=0.1, B84*Références!B134/D84, IF(D84="", B84*Références!B134,""))</f>
        <v>0</v>
      </c>
      <c r="I84" s="180"/>
      <c r="J84" s="41">
        <v>45</v>
      </c>
      <c r="K84" s="43"/>
      <c r="L84" s="43"/>
      <c r="M84" s="43"/>
      <c r="N84" s="21" t="e">
        <f t="shared" si="7"/>
        <v>#N/A</v>
      </c>
      <c r="O84" s="21"/>
      <c r="P84" s="21"/>
      <c r="Q84" s="74">
        <f t="shared" si="13"/>
        <v>0</v>
      </c>
      <c r="R84" s="222" t="str">
        <f t="shared" si="8"/>
        <v>0.000</v>
      </c>
      <c r="S84" s="194"/>
      <c r="T84" s="41">
        <v>46</v>
      </c>
      <c r="U84" s="43"/>
      <c r="V84" s="43"/>
      <c r="W84" s="43"/>
      <c r="X84" s="21" t="e">
        <f t="shared" si="11"/>
        <v>#N/A</v>
      </c>
      <c r="Y84" s="21"/>
      <c r="Z84" s="21"/>
      <c r="AA84" s="74">
        <f t="shared" si="12"/>
        <v>0</v>
      </c>
      <c r="AB84" s="222" t="str">
        <f t="shared" si="4"/>
        <v>0.000</v>
      </c>
      <c r="AC84" s="194"/>
      <c r="AD84" s="21"/>
      <c r="AE84" s="21"/>
      <c r="AF84" s="21"/>
      <c r="AG84" s="21"/>
      <c r="AH84" s="21"/>
      <c r="AI84" s="21"/>
      <c r="AJ84" s="21"/>
      <c r="AK84" s="21"/>
    </row>
    <row r="85" spans="1:37" ht="22" thickBot="1" x14ac:dyDescent="0.3">
      <c r="A85" s="87" t="s">
        <v>373</v>
      </c>
      <c r="B85" s="68"/>
      <c r="C85" s="67" t="s">
        <v>87</v>
      </c>
      <c r="D85" s="67" t="s">
        <v>317</v>
      </c>
      <c r="E85" s="68"/>
      <c r="F85" s="68"/>
      <c r="G85" s="88"/>
      <c r="H85" s="89" t="s">
        <v>216</v>
      </c>
      <c r="I85" s="226" t="s">
        <v>565</v>
      </c>
      <c r="J85" s="41">
        <v>46</v>
      </c>
      <c r="K85" s="43"/>
      <c r="L85" s="43"/>
      <c r="M85" s="43"/>
      <c r="N85" s="21" t="e">
        <f t="shared" si="7"/>
        <v>#N/A</v>
      </c>
      <c r="O85" s="21"/>
      <c r="P85" s="21"/>
      <c r="Q85" s="74">
        <f t="shared" si="13"/>
        <v>0</v>
      </c>
      <c r="R85" s="222" t="str">
        <f t="shared" si="8"/>
        <v>0.000</v>
      </c>
      <c r="S85" s="194"/>
      <c r="T85" s="41">
        <v>47</v>
      </c>
      <c r="U85" s="43"/>
      <c r="V85" s="43"/>
      <c r="W85" s="43"/>
      <c r="X85" s="21" t="e">
        <f t="shared" si="11"/>
        <v>#N/A</v>
      </c>
      <c r="Y85" s="21"/>
      <c r="Z85" s="21"/>
      <c r="AA85" s="74">
        <f t="shared" si="12"/>
        <v>0</v>
      </c>
      <c r="AB85" s="222" t="str">
        <f t="shared" si="4"/>
        <v>0.000</v>
      </c>
      <c r="AC85" s="194"/>
      <c r="AD85" s="21"/>
      <c r="AE85" s="21"/>
      <c r="AF85" s="21"/>
      <c r="AG85" s="21"/>
      <c r="AH85" s="21"/>
      <c r="AI85" s="21"/>
      <c r="AJ85" s="21"/>
      <c r="AK85" s="21"/>
    </row>
    <row r="86" spans="1:37" ht="19" x14ac:dyDescent="0.25">
      <c r="A86" s="21" t="s">
        <v>440</v>
      </c>
      <c r="B86" s="28"/>
      <c r="C86" s="21" t="s">
        <v>439</v>
      </c>
      <c r="D86" s="113"/>
      <c r="E86" s="21"/>
      <c r="F86" s="21"/>
      <c r="G86" s="21"/>
      <c r="H86" s="74">
        <f>IF(D86&gt;=0.1, B86*Références!B137/D86, IF(D86="", B86*Références!B137,""))</f>
        <v>0</v>
      </c>
      <c r="I86" s="181"/>
      <c r="J86" s="41">
        <v>47</v>
      </c>
      <c r="K86" s="43"/>
      <c r="L86" s="43"/>
      <c r="M86" s="43"/>
      <c r="N86" s="21" t="e">
        <f t="shared" si="7"/>
        <v>#N/A</v>
      </c>
      <c r="O86" s="21"/>
      <c r="P86" s="21"/>
      <c r="Q86" s="74">
        <f t="shared" si="13"/>
        <v>0</v>
      </c>
      <c r="R86" s="222" t="str">
        <f t="shared" si="8"/>
        <v>0.000</v>
      </c>
      <c r="S86" s="194"/>
      <c r="T86" s="41">
        <v>48</v>
      </c>
      <c r="U86" s="43"/>
      <c r="V86" s="43"/>
      <c r="W86" s="43"/>
      <c r="X86" s="21" t="e">
        <f t="shared" si="11"/>
        <v>#N/A</v>
      </c>
      <c r="Y86" s="21"/>
      <c r="Z86" s="21"/>
      <c r="AA86" s="74">
        <f t="shared" si="12"/>
        <v>0</v>
      </c>
      <c r="AB86" s="222" t="str">
        <f t="shared" si="4"/>
        <v>0.000</v>
      </c>
      <c r="AC86" s="194"/>
      <c r="AD86" s="21"/>
      <c r="AE86" s="21"/>
      <c r="AF86" s="21"/>
      <c r="AG86" s="21"/>
      <c r="AH86" s="21"/>
      <c r="AI86" s="21"/>
      <c r="AJ86" s="21"/>
      <c r="AK86" s="21"/>
    </row>
    <row r="87" spans="1:37" ht="19" x14ac:dyDescent="0.25">
      <c r="A87" s="21" t="s">
        <v>441</v>
      </c>
      <c r="B87" s="28"/>
      <c r="C87" s="21" t="s">
        <v>439</v>
      </c>
      <c r="D87" s="113"/>
      <c r="E87" s="21"/>
      <c r="F87" s="21"/>
      <c r="G87" s="21"/>
      <c r="H87" s="74">
        <f>IF(D87&gt;=0.1, B87*Références!B138/D87, IF(D87="", B87*Références!B138,""))</f>
        <v>0</v>
      </c>
      <c r="I87" s="180"/>
      <c r="J87" s="41">
        <v>48</v>
      </c>
      <c r="K87" s="43"/>
      <c r="L87" s="43"/>
      <c r="M87" s="43"/>
      <c r="N87" s="21" t="e">
        <f t="shared" si="7"/>
        <v>#N/A</v>
      </c>
      <c r="O87" s="21"/>
      <c r="P87" s="21"/>
      <c r="Q87" s="74">
        <f t="shared" si="13"/>
        <v>0</v>
      </c>
      <c r="R87" s="222" t="str">
        <f t="shared" si="8"/>
        <v>0.000</v>
      </c>
      <c r="S87" s="194"/>
      <c r="T87" s="41">
        <v>49</v>
      </c>
      <c r="U87" s="43"/>
      <c r="V87" s="43"/>
      <c r="W87" s="43"/>
      <c r="X87" s="21" t="e">
        <f t="shared" si="11"/>
        <v>#N/A</v>
      </c>
      <c r="Y87" s="21"/>
      <c r="Z87" s="21"/>
      <c r="AA87" s="74">
        <f t="shared" si="12"/>
        <v>0</v>
      </c>
      <c r="AB87" s="222" t="str">
        <f t="shared" si="4"/>
        <v>0.000</v>
      </c>
      <c r="AC87" s="194"/>
      <c r="AD87" s="21"/>
      <c r="AE87" s="21"/>
      <c r="AF87" s="21"/>
      <c r="AG87" s="21"/>
      <c r="AH87" s="21"/>
      <c r="AI87" s="21"/>
      <c r="AJ87" s="21"/>
      <c r="AK87" s="21"/>
    </row>
    <row r="88" spans="1:37" ht="19" x14ac:dyDescent="0.25">
      <c r="A88" s="21" t="s">
        <v>442</v>
      </c>
      <c r="B88" s="28"/>
      <c r="C88" s="21" t="s">
        <v>439</v>
      </c>
      <c r="D88" s="113"/>
      <c r="E88" s="21"/>
      <c r="F88" s="21"/>
      <c r="G88" s="21"/>
      <c r="H88" s="74">
        <f>IF(D88&gt;=0.1, B88*Références!B139/D88, IF(D88="", B88*Références!B139,""))</f>
        <v>0</v>
      </c>
      <c r="I88" s="180"/>
      <c r="J88" s="41">
        <v>49</v>
      </c>
      <c r="K88" s="43"/>
      <c r="L88" s="43"/>
      <c r="M88" s="43"/>
      <c r="N88" s="21" t="e">
        <f t="shared" si="7"/>
        <v>#N/A</v>
      </c>
      <c r="O88" s="21"/>
      <c r="P88" s="21"/>
      <c r="Q88" s="74">
        <f t="shared" si="13"/>
        <v>0</v>
      </c>
      <c r="R88" s="222" t="str">
        <f t="shared" si="8"/>
        <v>0.000</v>
      </c>
      <c r="S88" s="194"/>
      <c r="T88" s="41">
        <v>50</v>
      </c>
      <c r="U88" s="43"/>
      <c r="V88" s="43"/>
      <c r="W88" s="43"/>
      <c r="X88" s="21" t="e">
        <f t="shared" si="11"/>
        <v>#N/A</v>
      </c>
      <c r="Y88" s="21"/>
      <c r="Z88" s="21"/>
      <c r="AA88" s="74">
        <f t="shared" si="12"/>
        <v>0</v>
      </c>
      <c r="AB88" s="222" t="str">
        <f t="shared" si="4"/>
        <v>0.000</v>
      </c>
      <c r="AC88" s="194"/>
      <c r="AD88" s="21"/>
      <c r="AE88" s="21"/>
      <c r="AF88" s="21"/>
      <c r="AG88" s="21"/>
      <c r="AH88" s="21"/>
      <c r="AI88" s="21"/>
      <c r="AJ88" s="21"/>
      <c r="AK88" s="21"/>
    </row>
    <row r="89" spans="1:37" ht="19" x14ac:dyDescent="0.25">
      <c r="A89" s="90" t="s">
        <v>443</v>
      </c>
      <c r="B89" s="28"/>
      <c r="C89" s="21" t="s">
        <v>439</v>
      </c>
      <c r="D89" s="113"/>
      <c r="E89" s="21"/>
      <c r="F89" s="21"/>
      <c r="G89" s="21"/>
      <c r="H89" s="74">
        <f>IF(D89&gt;=0.1, B89*Références!B140/D89, IF(D89="", B89*Références!B140,""))</f>
        <v>0</v>
      </c>
      <c r="I89" s="180"/>
      <c r="J89" s="41">
        <v>50</v>
      </c>
      <c r="K89" s="43"/>
      <c r="L89" s="43"/>
      <c r="M89" s="43"/>
      <c r="N89" s="21" t="e">
        <f t="shared" si="7"/>
        <v>#N/A</v>
      </c>
      <c r="O89" s="21"/>
      <c r="P89" s="21"/>
      <c r="Q89" s="74">
        <f t="shared" si="13"/>
        <v>0</v>
      </c>
      <c r="R89" s="222" t="str">
        <f t="shared" si="8"/>
        <v>0.000</v>
      </c>
      <c r="S89" s="194"/>
      <c r="T89" s="41">
        <v>51</v>
      </c>
      <c r="U89" s="43"/>
      <c r="V89" s="43"/>
      <c r="W89" s="43"/>
      <c r="X89" s="21" t="e">
        <f t="shared" si="11"/>
        <v>#N/A</v>
      </c>
      <c r="Y89" s="21"/>
      <c r="Z89" s="21"/>
      <c r="AA89" s="74">
        <f t="shared" si="12"/>
        <v>0</v>
      </c>
      <c r="AB89" s="222" t="str">
        <f t="shared" si="4"/>
        <v>0.000</v>
      </c>
      <c r="AC89" s="194"/>
      <c r="AD89" s="21"/>
      <c r="AE89" s="21"/>
      <c r="AF89" s="21"/>
      <c r="AG89" s="21"/>
      <c r="AH89" s="21"/>
      <c r="AI89" s="21"/>
      <c r="AJ89" s="21"/>
      <c r="AK89" s="21"/>
    </row>
    <row r="90" spans="1:37" ht="19" x14ac:dyDescent="0.25">
      <c r="A90" s="90" t="s">
        <v>167</v>
      </c>
      <c r="B90" s="28"/>
      <c r="C90" s="21" t="s">
        <v>439</v>
      </c>
      <c r="D90" s="113"/>
      <c r="E90" s="21"/>
      <c r="F90" s="21"/>
      <c r="G90" s="21"/>
      <c r="H90" s="74">
        <f>IF(D90&gt;=0.1, B90*Références!B141/D90, IF(D90="", B90*Références!B141,""))</f>
        <v>0</v>
      </c>
      <c r="I90" s="180"/>
      <c r="J90" s="41">
        <v>51</v>
      </c>
      <c r="K90" s="43"/>
      <c r="L90" s="43"/>
      <c r="M90" s="43"/>
      <c r="N90" s="21" t="e">
        <f t="shared" si="7"/>
        <v>#N/A</v>
      </c>
      <c r="O90" s="21"/>
      <c r="P90" s="21"/>
      <c r="Q90" s="74">
        <f t="shared" si="13"/>
        <v>0</v>
      </c>
      <c r="R90" s="222" t="str">
        <f t="shared" si="8"/>
        <v>0.000</v>
      </c>
      <c r="S90" s="194"/>
      <c r="T90" s="41">
        <v>52</v>
      </c>
      <c r="U90" s="43"/>
      <c r="V90" s="43"/>
      <c r="W90" s="43"/>
      <c r="X90" s="21" t="e">
        <f t="shared" si="11"/>
        <v>#N/A</v>
      </c>
      <c r="Y90" s="21"/>
      <c r="Z90" s="21"/>
      <c r="AA90" s="74">
        <f t="shared" si="12"/>
        <v>0</v>
      </c>
      <c r="AB90" s="222" t="str">
        <f t="shared" si="4"/>
        <v>0.000</v>
      </c>
      <c r="AC90" s="194"/>
      <c r="AD90" s="21"/>
      <c r="AE90" s="21"/>
      <c r="AF90" s="21"/>
      <c r="AG90" s="21"/>
      <c r="AH90" s="21"/>
      <c r="AI90" s="21"/>
      <c r="AJ90" s="21"/>
      <c r="AK90" s="21"/>
    </row>
    <row r="91" spans="1:37" ht="19" x14ac:dyDescent="0.25">
      <c r="A91" s="90" t="s">
        <v>168</v>
      </c>
      <c r="B91" s="28"/>
      <c r="C91" s="21" t="s">
        <v>439</v>
      </c>
      <c r="D91" s="113"/>
      <c r="E91" s="21"/>
      <c r="F91" s="21"/>
      <c r="G91" s="21"/>
      <c r="H91" s="74">
        <f>IF(D91&gt;=0.1, B91*Références!B142/D91, IF(D91="", B91*Références!B142,""))</f>
        <v>0</v>
      </c>
      <c r="I91" s="180"/>
      <c r="J91" s="41">
        <v>52</v>
      </c>
      <c r="K91" s="43"/>
      <c r="L91" s="43"/>
      <c r="M91" s="43"/>
      <c r="N91" s="21" t="e">
        <f t="shared" si="7"/>
        <v>#N/A</v>
      </c>
      <c r="O91" s="21"/>
      <c r="P91" s="21"/>
      <c r="Q91" s="74">
        <f t="shared" si="13"/>
        <v>0</v>
      </c>
      <c r="R91" s="222" t="str">
        <f t="shared" si="8"/>
        <v>0.000</v>
      </c>
      <c r="S91" s="194"/>
      <c r="T91" s="41">
        <v>53</v>
      </c>
      <c r="U91" s="43"/>
      <c r="V91" s="43"/>
      <c r="W91" s="43"/>
      <c r="X91" s="21" t="e">
        <f t="shared" si="11"/>
        <v>#N/A</v>
      </c>
      <c r="Y91" s="21"/>
      <c r="Z91" s="21"/>
      <c r="AA91" s="74">
        <f t="shared" si="12"/>
        <v>0</v>
      </c>
      <c r="AB91" s="222" t="str">
        <f t="shared" si="4"/>
        <v>0.000</v>
      </c>
      <c r="AC91" s="194"/>
      <c r="AD91" s="21"/>
      <c r="AE91" s="21"/>
      <c r="AF91" s="21"/>
      <c r="AG91" s="21"/>
      <c r="AH91" s="21"/>
      <c r="AI91" s="21"/>
      <c r="AJ91" s="21"/>
      <c r="AK91" s="21"/>
    </row>
    <row r="92" spans="1:37" ht="19" x14ac:dyDescent="0.25">
      <c r="A92" s="90" t="s">
        <v>165</v>
      </c>
      <c r="B92" s="28"/>
      <c r="C92" s="21" t="s">
        <v>439</v>
      </c>
      <c r="D92" s="113"/>
      <c r="E92" s="21"/>
      <c r="F92" s="21"/>
      <c r="G92" s="21"/>
      <c r="H92" s="74">
        <f>IF(D92&gt;=0.1, B92*Références!B143/D92, IF(D92="", B92*Références!B143,""))</f>
        <v>0</v>
      </c>
      <c r="I92" s="180"/>
      <c r="J92" s="41">
        <v>53</v>
      </c>
      <c r="K92" s="43"/>
      <c r="L92" s="43"/>
      <c r="M92" s="43"/>
      <c r="N92" s="21" t="e">
        <f t="shared" si="7"/>
        <v>#N/A</v>
      </c>
      <c r="O92" s="21"/>
      <c r="P92" s="21"/>
      <c r="Q92" s="74">
        <f t="shared" si="13"/>
        <v>0</v>
      </c>
      <c r="R92" s="222" t="str">
        <f t="shared" si="8"/>
        <v>0.000</v>
      </c>
      <c r="S92" s="194"/>
      <c r="T92" s="41">
        <v>54</v>
      </c>
      <c r="U92" s="43"/>
      <c r="V92" s="43"/>
      <c r="W92" s="43"/>
      <c r="X92" s="21" t="e">
        <f t="shared" si="11"/>
        <v>#N/A</v>
      </c>
      <c r="Y92" s="21"/>
      <c r="Z92" s="21"/>
      <c r="AA92" s="74">
        <f t="shared" si="12"/>
        <v>0</v>
      </c>
      <c r="AB92" s="222" t="str">
        <f t="shared" si="4"/>
        <v>0.000</v>
      </c>
      <c r="AC92" s="194"/>
      <c r="AD92" s="21"/>
      <c r="AE92" s="21"/>
      <c r="AF92" s="21"/>
      <c r="AG92" s="21"/>
      <c r="AH92" s="21"/>
      <c r="AI92" s="21"/>
      <c r="AJ92" s="21"/>
      <c r="AK92" s="21"/>
    </row>
    <row r="93" spans="1:37" ht="19" x14ac:dyDescent="0.25">
      <c r="A93" s="90" t="s">
        <v>166</v>
      </c>
      <c r="B93" s="28"/>
      <c r="C93" s="21" t="s">
        <v>439</v>
      </c>
      <c r="D93" s="113"/>
      <c r="E93" s="21"/>
      <c r="F93" s="21"/>
      <c r="G93" s="21"/>
      <c r="H93" s="74">
        <f>IF(D93&gt;=0.1, B93*Références!B144/D93, IF(D93="", B93*Références!B144,""))</f>
        <v>0</v>
      </c>
      <c r="I93" s="180"/>
      <c r="J93" s="41">
        <v>54</v>
      </c>
      <c r="K93" s="43"/>
      <c r="L93" s="43"/>
      <c r="M93" s="43"/>
      <c r="N93" s="21" t="e">
        <f t="shared" si="7"/>
        <v>#N/A</v>
      </c>
      <c r="O93" s="21"/>
      <c r="P93" s="21"/>
      <c r="Q93" s="74">
        <f t="shared" si="13"/>
        <v>0</v>
      </c>
      <c r="R93" s="222" t="str">
        <f t="shared" si="8"/>
        <v>0.000</v>
      </c>
      <c r="S93" s="194"/>
      <c r="T93" s="41">
        <v>55</v>
      </c>
      <c r="U93" s="43"/>
      <c r="V93" s="43"/>
      <c r="W93" s="43"/>
      <c r="X93" s="21" t="e">
        <f t="shared" si="11"/>
        <v>#N/A</v>
      </c>
      <c r="Y93" s="21"/>
      <c r="Z93" s="21"/>
      <c r="AA93" s="74">
        <f t="shared" si="12"/>
        <v>0</v>
      </c>
      <c r="AB93" s="222" t="str">
        <f t="shared" si="4"/>
        <v>0.000</v>
      </c>
      <c r="AC93" s="194"/>
      <c r="AD93" s="21"/>
      <c r="AE93" s="21"/>
      <c r="AF93" s="21"/>
      <c r="AG93" s="21"/>
      <c r="AH93" s="21"/>
      <c r="AI93" s="21"/>
      <c r="AJ93" s="21"/>
      <c r="AK93" s="21"/>
    </row>
    <row r="94" spans="1:37" ht="20" thickBot="1" x14ac:dyDescent="0.3">
      <c r="A94" s="90" t="s">
        <v>481</v>
      </c>
      <c r="B94" s="28"/>
      <c r="C94" s="21" t="s">
        <v>439</v>
      </c>
      <c r="D94" s="113"/>
      <c r="E94" s="21"/>
      <c r="F94" s="21"/>
      <c r="G94" s="21"/>
      <c r="H94" s="74">
        <f>IF(D94&gt;=0.1, B94*Références!B145/D94, IF(D94="", B94*Références!B145,""))</f>
        <v>0</v>
      </c>
      <c r="I94" s="180"/>
      <c r="J94" s="41">
        <v>55</v>
      </c>
      <c r="K94" s="43"/>
      <c r="L94" s="43"/>
      <c r="M94" s="43"/>
      <c r="N94" s="21"/>
      <c r="O94" s="21"/>
      <c r="P94" s="21"/>
      <c r="Q94" s="74">
        <f t="shared" si="13"/>
        <v>0</v>
      </c>
      <c r="R94" s="222" t="str">
        <f t="shared" si="8"/>
        <v>0.000</v>
      </c>
      <c r="S94" s="194"/>
      <c r="T94" s="41">
        <v>56</v>
      </c>
      <c r="U94" s="43"/>
      <c r="V94" s="43"/>
      <c r="W94" s="43"/>
      <c r="X94" s="21"/>
      <c r="Y94" s="21"/>
      <c r="Z94" s="21"/>
      <c r="AA94" s="74">
        <f t="shared" si="12"/>
        <v>0</v>
      </c>
      <c r="AB94" s="222" t="str">
        <f t="shared" si="4"/>
        <v>0.000</v>
      </c>
      <c r="AC94" s="194"/>
      <c r="AD94" s="21"/>
      <c r="AE94" s="21"/>
      <c r="AF94" s="21"/>
      <c r="AG94" s="21"/>
      <c r="AH94" s="21"/>
      <c r="AI94" s="21"/>
      <c r="AJ94" s="21"/>
      <c r="AK94" s="21"/>
    </row>
    <row r="95" spans="1:37" ht="22" thickBot="1" x14ac:dyDescent="0.3">
      <c r="A95" s="87" t="s">
        <v>400</v>
      </c>
      <c r="B95" s="68"/>
      <c r="C95" s="67" t="s">
        <v>87</v>
      </c>
      <c r="D95" s="67" t="s">
        <v>317</v>
      </c>
      <c r="E95" s="68"/>
      <c r="F95" s="68"/>
      <c r="G95" s="88"/>
      <c r="H95" s="89" t="s">
        <v>216</v>
      </c>
      <c r="I95" s="226" t="s">
        <v>565</v>
      </c>
      <c r="J95" s="41">
        <v>56</v>
      </c>
      <c r="K95" s="43"/>
      <c r="L95" s="43"/>
      <c r="M95" s="43"/>
      <c r="N95" s="21" t="e">
        <f t="shared" si="7"/>
        <v>#N/A</v>
      </c>
      <c r="O95" s="21"/>
      <c r="P95" s="21"/>
      <c r="Q95" s="74">
        <f t="shared" si="13"/>
        <v>0</v>
      </c>
      <c r="R95" s="222" t="str">
        <f t="shared" si="8"/>
        <v>0.000</v>
      </c>
      <c r="S95" s="194"/>
      <c r="T95" s="41">
        <v>57</v>
      </c>
      <c r="U95" s="43"/>
      <c r="V95" s="43"/>
      <c r="W95" s="43"/>
      <c r="X95" s="21" t="e">
        <f t="shared" si="11"/>
        <v>#N/A</v>
      </c>
      <c r="Y95" s="21"/>
      <c r="Z95" s="21"/>
      <c r="AA95" s="74">
        <f t="shared" si="12"/>
        <v>0</v>
      </c>
      <c r="AB95" s="222" t="str">
        <f t="shared" si="4"/>
        <v>0.000</v>
      </c>
      <c r="AC95" s="194"/>
      <c r="AD95" s="21"/>
      <c r="AE95" s="21"/>
      <c r="AF95" s="21"/>
      <c r="AG95" s="21"/>
      <c r="AH95" s="21"/>
      <c r="AI95" s="21"/>
      <c r="AJ95" s="21"/>
      <c r="AK95" s="21"/>
    </row>
    <row r="96" spans="1:37" ht="19" x14ac:dyDescent="0.25">
      <c r="A96" s="21" t="s">
        <v>396</v>
      </c>
      <c r="B96" s="28"/>
      <c r="C96" s="21" t="s">
        <v>439</v>
      </c>
      <c r="D96" s="113"/>
      <c r="E96" s="21"/>
      <c r="F96" s="21"/>
      <c r="G96" s="21"/>
      <c r="H96" s="74">
        <f>IF(D96&gt;=0.1, B96*Références!B170/D96, IF(D96="", B96*Références!B170,""))</f>
        <v>0</v>
      </c>
      <c r="I96" s="181"/>
      <c r="J96" s="41">
        <v>57</v>
      </c>
      <c r="K96" s="43"/>
      <c r="L96" s="43"/>
      <c r="M96" s="43"/>
      <c r="N96" s="21" t="e">
        <f t="shared" si="7"/>
        <v>#N/A</v>
      </c>
      <c r="O96" s="21"/>
      <c r="P96" s="21"/>
      <c r="Q96" s="74">
        <f t="shared" si="13"/>
        <v>0</v>
      </c>
      <c r="R96" s="222" t="str">
        <f t="shared" si="8"/>
        <v>0.000</v>
      </c>
      <c r="S96" s="194"/>
      <c r="T96" s="41">
        <v>58</v>
      </c>
      <c r="U96" s="43"/>
      <c r="V96" s="43"/>
      <c r="W96" s="43"/>
      <c r="X96" s="21" t="e">
        <f t="shared" si="11"/>
        <v>#N/A</v>
      </c>
      <c r="Y96" s="21"/>
      <c r="Z96" s="21"/>
      <c r="AA96" s="74">
        <f t="shared" si="12"/>
        <v>0</v>
      </c>
      <c r="AB96" s="222" t="str">
        <f t="shared" si="4"/>
        <v>0.000</v>
      </c>
      <c r="AC96" s="194"/>
      <c r="AD96" s="21"/>
      <c r="AE96" s="21"/>
      <c r="AF96" s="21"/>
      <c r="AG96" s="21"/>
      <c r="AH96" s="21"/>
      <c r="AI96" s="21"/>
      <c r="AJ96" s="21"/>
      <c r="AK96" s="21"/>
    </row>
    <row r="97" spans="1:37" ht="19" x14ac:dyDescent="0.25">
      <c r="A97" s="21" t="s">
        <v>397</v>
      </c>
      <c r="B97" s="28"/>
      <c r="C97" s="21" t="s">
        <v>439</v>
      </c>
      <c r="D97" s="113"/>
      <c r="E97" s="21"/>
      <c r="F97" s="21"/>
      <c r="G97" s="21"/>
      <c r="H97" s="74">
        <f>IF(D97&gt;=0.1, B97*Références!B171/D97, IF(D97="", B97*Références!B171,""))</f>
        <v>0</v>
      </c>
      <c r="I97" s="180"/>
      <c r="J97" s="41">
        <v>58</v>
      </c>
      <c r="K97" s="43"/>
      <c r="L97" s="43"/>
      <c r="M97" s="43"/>
      <c r="N97" s="21" t="e">
        <f t="shared" si="7"/>
        <v>#N/A</v>
      </c>
      <c r="O97" s="21"/>
      <c r="P97" s="21"/>
      <c r="Q97" s="74">
        <f t="shared" si="13"/>
        <v>0</v>
      </c>
      <c r="R97" s="222" t="str">
        <f t="shared" si="8"/>
        <v>0.000</v>
      </c>
      <c r="S97" s="194"/>
      <c r="T97" s="41">
        <v>59</v>
      </c>
      <c r="U97" s="43"/>
      <c r="V97" s="43"/>
      <c r="W97" s="43"/>
      <c r="X97" s="21" t="e">
        <f t="shared" si="11"/>
        <v>#N/A</v>
      </c>
      <c r="Y97" s="21"/>
      <c r="Z97" s="21"/>
      <c r="AA97" s="74">
        <f t="shared" si="12"/>
        <v>0</v>
      </c>
      <c r="AB97" s="222" t="str">
        <f t="shared" si="4"/>
        <v>0.000</v>
      </c>
      <c r="AC97" s="194"/>
      <c r="AD97" s="21"/>
      <c r="AE97" s="21"/>
      <c r="AF97" s="21"/>
      <c r="AG97" s="21"/>
      <c r="AH97" s="21"/>
      <c r="AI97" s="21"/>
      <c r="AJ97" s="21"/>
      <c r="AK97" s="21"/>
    </row>
    <row r="98" spans="1:37" ht="20" thickBot="1" x14ac:dyDescent="0.3">
      <c r="H98" s="14"/>
      <c r="I98" s="196"/>
      <c r="J98" s="41">
        <v>59</v>
      </c>
      <c r="K98" s="43"/>
      <c r="L98" s="43"/>
      <c r="M98" s="43"/>
      <c r="N98" s="21" t="e">
        <f t="shared" si="7"/>
        <v>#N/A</v>
      </c>
      <c r="O98" s="21"/>
      <c r="P98" s="21"/>
      <c r="Q98" s="74">
        <f t="shared" si="13"/>
        <v>0</v>
      </c>
      <c r="R98" s="222" t="str">
        <f t="shared" si="8"/>
        <v>0.000</v>
      </c>
      <c r="S98" s="194"/>
      <c r="T98" s="41">
        <v>60</v>
      </c>
      <c r="U98" s="43"/>
      <c r="V98" s="43"/>
      <c r="W98" s="43"/>
      <c r="X98" s="21" t="e">
        <f t="shared" si="11"/>
        <v>#N/A</v>
      </c>
      <c r="Y98" s="21"/>
      <c r="Z98" s="21"/>
      <c r="AA98" s="74">
        <f t="shared" si="12"/>
        <v>0</v>
      </c>
      <c r="AB98" s="222" t="str">
        <f t="shared" si="4"/>
        <v>0.000</v>
      </c>
      <c r="AC98" s="194"/>
      <c r="AD98" s="21"/>
      <c r="AE98" s="21"/>
      <c r="AF98" s="21"/>
      <c r="AG98" s="21"/>
      <c r="AH98" s="21"/>
      <c r="AI98" s="21"/>
      <c r="AJ98" s="21"/>
      <c r="AK98" s="21"/>
    </row>
    <row r="99" spans="1:37" ht="20" thickBot="1" x14ac:dyDescent="0.3">
      <c r="A99" s="256" t="s">
        <v>95</v>
      </c>
      <c r="B99" s="257"/>
      <c r="C99" s="257"/>
      <c r="D99" s="257"/>
      <c r="E99" s="257"/>
      <c r="F99" s="257"/>
      <c r="G99" s="257"/>
      <c r="H99" s="258"/>
      <c r="I99" s="172" t="s">
        <v>565</v>
      </c>
      <c r="J99" s="41">
        <v>60</v>
      </c>
      <c r="K99" s="43"/>
      <c r="L99" s="43"/>
      <c r="M99" s="43"/>
      <c r="N99" s="21" t="e">
        <f t="shared" si="7"/>
        <v>#N/A</v>
      </c>
      <c r="O99" s="21"/>
      <c r="P99" s="21"/>
      <c r="Q99" s="74">
        <f t="shared" si="13"/>
        <v>0</v>
      </c>
      <c r="R99" s="222" t="str">
        <f t="shared" si="8"/>
        <v>0.000</v>
      </c>
      <c r="S99" s="194"/>
      <c r="T99" s="41">
        <v>61</v>
      </c>
      <c r="U99" s="43"/>
      <c r="V99" s="43"/>
      <c r="W99" s="43"/>
      <c r="X99" s="21" t="e">
        <f t="shared" si="11"/>
        <v>#N/A</v>
      </c>
      <c r="Y99" s="21"/>
      <c r="Z99" s="21"/>
      <c r="AA99" s="74">
        <f t="shared" si="12"/>
        <v>0</v>
      </c>
      <c r="AB99" s="222" t="str">
        <f t="shared" si="4"/>
        <v>0.000</v>
      </c>
      <c r="AC99" s="194"/>
      <c r="AD99" s="21"/>
      <c r="AE99" s="21"/>
      <c r="AF99" s="21"/>
      <c r="AG99" s="21"/>
      <c r="AH99" s="21"/>
      <c r="AI99" s="21"/>
      <c r="AJ99" s="21"/>
      <c r="AK99" s="21"/>
    </row>
    <row r="100" spans="1:37" ht="19" x14ac:dyDescent="0.25">
      <c r="A100" s="92" t="s">
        <v>423</v>
      </c>
      <c r="B100" s="29"/>
      <c r="C100" s="29" t="s">
        <v>87</v>
      </c>
      <c r="D100" s="29"/>
      <c r="E100" s="29"/>
      <c r="F100" s="29"/>
      <c r="G100" s="29"/>
      <c r="H100" s="30" t="s">
        <v>216</v>
      </c>
      <c r="I100" s="227"/>
      <c r="J100" s="41">
        <v>61</v>
      </c>
      <c r="K100" s="43"/>
      <c r="L100" s="43"/>
      <c r="M100" s="43"/>
      <c r="N100" s="21" t="e">
        <f t="shared" si="7"/>
        <v>#N/A</v>
      </c>
      <c r="O100" s="21"/>
      <c r="P100" s="21"/>
      <c r="Q100" s="74">
        <f t="shared" si="13"/>
        <v>0</v>
      </c>
      <c r="R100" s="222" t="str">
        <f t="shared" si="8"/>
        <v>0.000</v>
      </c>
      <c r="S100" s="194"/>
      <c r="T100" s="41">
        <v>62</v>
      </c>
      <c r="U100" s="43"/>
      <c r="V100" s="43"/>
      <c r="W100" s="43"/>
      <c r="X100" s="21" t="e">
        <f t="shared" si="11"/>
        <v>#N/A</v>
      </c>
      <c r="Y100" s="21"/>
      <c r="Z100" s="21"/>
      <c r="AA100" s="74">
        <f t="shared" si="12"/>
        <v>0</v>
      </c>
      <c r="AB100" s="222" t="str">
        <f t="shared" si="4"/>
        <v>0.000</v>
      </c>
      <c r="AC100" s="194"/>
      <c r="AD100" s="21"/>
      <c r="AE100" s="21"/>
      <c r="AF100" s="21"/>
      <c r="AG100" s="21"/>
      <c r="AH100" s="21"/>
      <c r="AI100" s="21"/>
      <c r="AJ100" s="21"/>
      <c r="AK100" s="21"/>
    </row>
    <row r="101" spans="1:37" ht="19" x14ac:dyDescent="0.25">
      <c r="A101" s="91" t="s">
        <v>418</v>
      </c>
      <c r="B101" s="28"/>
      <c r="C101" s="21" t="s">
        <v>424</v>
      </c>
      <c r="D101" s="21"/>
      <c r="E101" s="21"/>
      <c r="F101" s="21"/>
      <c r="G101" s="21"/>
      <c r="H101" s="74">
        <f>B101*Références!C106</f>
        <v>0</v>
      </c>
      <c r="I101" s="180"/>
      <c r="J101" s="41">
        <v>62</v>
      </c>
      <c r="K101" s="43"/>
      <c r="L101" s="43"/>
      <c r="M101" s="43"/>
      <c r="N101" s="21" t="e">
        <f t="shared" si="7"/>
        <v>#N/A</v>
      </c>
      <c r="O101" s="21"/>
      <c r="P101" s="21"/>
      <c r="Q101" s="74">
        <f t="shared" si="13"/>
        <v>0</v>
      </c>
      <c r="R101" s="222" t="str">
        <f t="shared" si="8"/>
        <v>0.000</v>
      </c>
      <c r="S101" s="194"/>
      <c r="T101" s="41">
        <v>63</v>
      </c>
      <c r="U101" s="43"/>
      <c r="V101" s="43"/>
      <c r="W101" s="43"/>
      <c r="X101" s="21" t="e">
        <f t="shared" si="11"/>
        <v>#N/A</v>
      </c>
      <c r="Y101" s="21"/>
      <c r="Z101" s="21"/>
      <c r="AA101" s="74">
        <f t="shared" si="12"/>
        <v>0</v>
      </c>
      <c r="AB101" s="222" t="str">
        <f t="shared" si="4"/>
        <v>0.000</v>
      </c>
      <c r="AC101" s="194"/>
      <c r="AD101" s="21"/>
      <c r="AE101" s="21"/>
      <c r="AF101" s="21"/>
      <c r="AG101" s="21"/>
      <c r="AH101" s="21"/>
      <c r="AI101" s="21"/>
      <c r="AJ101" s="21"/>
      <c r="AK101" s="21"/>
    </row>
    <row r="102" spans="1:37" ht="19" x14ac:dyDescent="0.25">
      <c r="A102" s="91" t="s">
        <v>419</v>
      </c>
      <c r="B102" s="28"/>
      <c r="C102" s="21" t="s">
        <v>424</v>
      </c>
      <c r="D102" s="21"/>
      <c r="E102" s="21"/>
      <c r="F102" s="21"/>
      <c r="G102" s="21"/>
      <c r="H102" s="74">
        <f>B102*Références!C107</f>
        <v>0</v>
      </c>
      <c r="I102" s="180"/>
      <c r="J102" s="41">
        <v>63</v>
      </c>
      <c r="K102" s="43"/>
      <c r="L102" s="43"/>
      <c r="M102" s="43"/>
      <c r="N102" s="21" t="e">
        <f t="shared" si="7"/>
        <v>#N/A</v>
      </c>
      <c r="O102" s="21"/>
      <c r="P102" s="21"/>
      <c r="Q102" s="74">
        <f t="shared" si="13"/>
        <v>0</v>
      </c>
      <c r="R102" s="222" t="str">
        <f t="shared" si="8"/>
        <v>0.000</v>
      </c>
      <c r="S102" s="194"/>
      <c r="T102" s="41">
        <v>64</v>
      </c>
      <c r="U102" s="43"/>
      <c r="V102" s="43"/>
      <c r="W102" s="43"/>
      <c r="X102" s="21" t="e">
        <f t="shared" si="11"/>
        <v>#N/A</v>
      </c>
      <c r="Y102" s="21"/>
      <c r="Z102" s="21"/>
      <c r="AA102" s="74">
        <f t="shared" si="12"/>
        <v>0</v>
      </c>
      <c r="AB102" s="222" t="str">
        <f t="shared" si="4"/>
        <v>0.000</v>
      </c>
      <c r="AC102" s="194"/>
      <c r="AD102" s="21"/>
      <c r="AE102" s="21"/>
      <c r="AF102" s="21"/>
      <c r="AG102" s="21"/>
      <c r="AH102" s="21"/>
      <c r="AI102" s="21"/>
      <c r="AJ102" s="21"/>
      <c r="AK102" s="21"/>
    </row>
    <row r="103" spans="1:37" ht="19" x14ac:dyDescent="0.25">
      <c r="A103" s="91" t="s">
        <v>420</v>
      </c>
      <c r="B103" s="28"/>
      <c r="C103" s="21" t="s">
        <v>424</v>
      </c>
      <c r="D103" s="21"/>
      <c r="E103" s="21"/>
      <c r="F103" s="21"/>
      <c r="G103" s="21"/>
      <c r="H103" s="74">
        <f>B103*Références!C108</f>
        <v>0</v>
      </c>
      <c r="I103" s="180"/>
      <c r="J103" s="41">
        <v>64</v>
      </c>
      <c r="K103" s="43"/>
      <c r="L103" s="43"/>
      <c r="M103" s="43"/>
      <c r="N103" s="21" t="e">
        <f t="shared" si="7"/>
        <v>#N/A</v>
      </c>
      <c r="O103" s="21"/>
      <c r="P103" s="21"/>
      <c r="Q103" s="74">
        <f t="shared" si="13"/>
        <v>0</v>
      </c>
      <c r="R103" s="222" t="str">
        <f t="shared" si="8"/>
        <v>0.000</v>
      </c>
      <c r="S103" s="194"/>
      <c r="T103" s="41">
        <v>65</v>
      </c>
      <c r="U103" s="43"/>
      <c r="V103" s="43"/>
      <c r="W103" s="43"/>
      <c r="X103" s="21" t="e">
        <f t="shared" si="11"/>
        <v>#N/A</v>
      </c>
      <c r="Y103" s="21"/>
      <c r="Z103" s="21"/>
      <c r="AA103" s="74">
        <f t="shared" si="12"/>
        <v>0</v>
      </c>
      <c r="AB103" s="222" t="str">
        <f t="shared" si="4"/>
        <v>0.000</v>
      </c>
      <c r="AC103" s="194"/>
      <c r="AD103" s="21"/>
      <c r="AE103" s="21"/>
      <c r="AF103" s="21"/>
      <c r="AG103" s="21"/>
      <c r="AH103" s="21"/>
      <c r="AI103" s="21"/>
      <c r="AJ103" s="21"/>
      <c r="AK103" s="21"/>
    </row>
    <row r="104" spans="1:37" ht="19" x14ac:dyDescent="0.25">
      <c r="A104" s="91" t="s">
        <v>421</v>
      </c>
      <c r="B104" s="28"/>
      <c r="C104" s="21" t="s">
        <v>424</v>
      </c>
      <c r="D104" s="21"/>
      <c r="E104" s="21"/>
      <c r="F104" s="21"/>
      <c r="G104" s="21"/>
      <c r="H104" s="74">
        <f>B104*Références!C109</f>
        <v>0</v>
      </c>
      <c r="I104" s="180"/>
      <c r="J104" s="41">
        <v>65</v>
      </c>
      <c r="K104" s="43"/>
      <c r="L104" s="43"/>
      <c r="M104" s="43"/>
      <c r="N104" s="21" t="e">
        <f t="shared" si="7"/>
        <v>#N/A</v>
      </c>
      <c r="O104" s="21"/>
      <c r="P104" s="21"/>
      <c r="Q104" s="74">
        <f t="shared" si="13"/>
        <v>0</v>
      </c>
      <c r="R104" s="222" t="str">
        <f t="shared" si="8"/>
        <v>0.000</v>
      </c>
      <c r="S104" s="194"/>
      <c r="T104" s="41">
        <v>66</v>
      </c>
      <c r="U104" s="43"/>
      <c r="V104" s="43"/>
      <c r="W104" s="43"/>
      <c r="X104" s="21" t="e">
        <f t="shared" si="11"/>
        <v>#N/A</v>
      </c>
      <c r="Y104" s="21"/>
      <c r="Z104" s="21"/>
      <c r="AA104" s="74">
        <f t="shared" ref="AA104:AA135" si="14">IFERROR(U104*W104*VLOOKUP(V104,Matrix_véhicule,3,FALSE)/IF(X104=1,1,U104),0)</f>
        <v>0</v>
      </c>
      <c r="AB104" s="222" t="str">
        <f t="shared" si="4"/>
        <v>0.000</v>
      </c>
      <c r="AC104" s="194"/>
      <c r="AD104" s="21"/>
      <c r="AE104" s="21"/>
      <c r="AF104" s="21"/>
      <c r="AG104" s="21"/>
      <c r="AH104" s="21"/>
      <c r="AI104" s="21"/>
      <c r="AJ104" s="21"/>
      <c r="AK104" s="21"/>
    </row>
    <row r="105" spans="1:37" ht="19" x14ac:dyDescent="0.25">
      <c r="A105" s="91" t="s">
        <v>422</v>
      </c>
      <c r="B105" s="28"/>
      <c r="C105" s="21" t="s">
        <v>424</v>
      </c>
      <c r="D105" s="21"/>
      <c r="E105" s="21"/>
      <c r="F105" s="21"/>
      <c r="G105" s="21"/>
      <c r="H105" s="74">
        <f>B105*Références!C110</f>
        <v>0</v>
      </c>
      <c r="I105" s="180"/>
      <c r="J105" s="41">
        <v>66</v>
      </c>
      <c r="K105" s="43"/>
      <c r="L105" s="43"/>
      <c r="M105" s="43"/>
      <c r="N105" s="21" t="e">
        <f t="shared" si="7"/>
        <v>#N/A</v>
      </c>
      <c r="O105" s="21"/>
      <c r="P105" s="21"/>
      <c r="Q105" s="74">
        <f t="shared" ref="Q105:Q136" si="15">IFERROR(K105*M105*VLOOKUP(L105,Matrix_véhicule,3,FALSE)/IF(N105=1,1,K105),0)</f>
        <v>0</v>
      </c>
      <c r="R105" s="222" t="str">
        <f t="shared" si="8"/>
        <v>0.000</v>
      </c>
      <c r="S105" s="194"/>
      <c r="T105" s="41">
        <v>67</v>
      </c>
      <c r="U105" s="43"/>
      <c r="V105" s="43"/>
      <c r="W105" s="43"/>
      <c r="X105" s="21" t="e">
        <f t="shared" si="11"/>
        <v>#N/A</v>
      </c>
      <c r="Y105" s="21"/>
      <c r="Z105" s="21"/>
      <c r="AA105" s="74">
        <f t="shared" si="14"/>
        <v>0</v>
      </c>
      <c r="AB105" s="222" t="str">
        <f t="shared" ref="AB105:AB168" si="16">IF(OR(V105="automobile", V105="automobile hybride", V105="automobile électrique"), IFERROR(AA105/U105, 0), "0.000")</f>
        <v>0.000</v>
      </c>
      <c r="AC105" s="194"/>
      <c r="AD105" s="21"/>
      <c r="AE105" s="21"/>
      <c r="AF105" s="21"/>
      <c r="AG105" s="21"/>
      <c r="AH105" s="21"/>
      <c r="AI105" s="21"/>
      <c r="AJ105" s="21"/>
      <c r="AK105" s="21"/>
    </row>
    <row r="106" spans="1:37" ht="19" x14ac:dyDescent="0.25">
      <c r="A106" s="29" t="s">
        <v>425</v>
      </c>
      <c r="B106" s="21"/>
      <c r="C106" s="21"/>
      <c r="D106" s="21"/>
      <c r="E106" s="21"/>
      <c r="F106" s="21"/>
      <c r="G106" s="21"/>
      <c r="H106" s="93"/>
      <c r="I106" s="194"/>
      <c r="J106" s="41">
        <v>67</v>
      </c>
      <c r="K106" s="43"/>
      <c r="L106" s="43"/>
      <c r="M106" s="43"/>
      <c r="N106" s="21" t="e">
        <f t="shared" si="7"/>
        <v>#N/A</v>
      </c>
      <c r="O106" s="21"/>
      <c r="P106" s="21"/>
      <c r="Q106" s="74">
        <f t="shared" si="15"/>
        <v>0</v>
      </c>
      <c r="R106" s="222" t="str">
        <f t="shared" ref="R106:R169" si="17">IF(OR(L106="automobile", L106="automobile hybride", L106="automobile électrique"), IFERROR(Q106/K106, 0), "0.000")</f>
        <v>0.000</v>
      </c>
      <c r="S106" s="194"/>
      <c r="T106" s="41">
        <v>68</v>
      </c>
      <c r="U106" s="43"/>
      <c r="V106" s="43"/>
      <c r="W106" s="43"/>
      <c r="X106" s="21" t="e">
        <f t="shared" si="11"/>
        <v>#N/A</v>
      </c>
      <c r="Y106" s="21"/>
      <c r="Z106" s="21"/>
      <c r="AA106" s="74">
        <f t="shared" si="14"/>
        <v>0</v>
      </c>
      <c r="AB106" s="222" t="str">
        <f t="shared" si="16"/>
        <v>0.000</v>
      </c>
      <c r="AC106" s="194"/>
      <c r="AD106" s="21"/>
      <c r="AE106" s="21"/>
      <c r="AF106" s="21"/>
      <c r="AG106" s="21"/>
      <c r="AH106" s="21"/>
      <c r="AI106" s="21"/>
      <c r="AJ106" s="21"/>
      <c r="AK106" s="21"/>
    </row>
    <row r="107" spans="1:37" ht="19" x14ac:dyDescent="0.25">
      <c r="A107" s="48" t="s">
        <v>553</v>
      </c>
      <c r="B107" s="113"/>
      <c r="C107" s="21" t="s">
        <v>433</v>
      </c>
      <c r="D107" s="21"/>
      <c r="E107" s="21"/>
      <c r="F107" s="21"/>
      <c r="G107" s="21"/>
      <c r="H107" s="74">
        <f>B107*0.0003706</f>
        <v>0</v>
      </c>
      <c r="I107" s="180"/>
      <c r="J107" s="41">
        <v>68</v>
      </c>
      <c r="K107" s="43"/>
      <c r="L107" s="43"/>
      <c r="M107" s="43"/>
      <c r="N107" s="21" t="e">
        <f t="shared" si="7"/>
        <v>#N/A</v>
      </c>
      <c r="O107" s="21"/>
      <c r="P107" s="21"/>
      <c r="Q107" s="74">
        <f t="shared" si="15"/>
        <v>0</v>
      </c>
      <c r="R107" s="222" t="str">
        <f t="shared" si="17"/>
        <v>0.000</v>
      </c>
      <c r="S107" s="194"/>
      <c r="T107" s="41">
        <v>69</v>
      </c>
      <c r="U107" s="43"/>
      <c r="V107" s="43"/>
      <c r="W107" s="43"/>
      <c r="X107" s="21" t="e">
        <f t="shared" si="11"/>
        <v>#N/A</v>
      </c>
      <c r="Y107" s="21"/>
      <c r="Z107" s="21"/>
      <c r="AA107" s="74">
        <f t="shared" si="14"/>
        <v>0</v>
      </c>
      <c r="AB107" s="222" t="str">
        <f t="shared" si="16"/>
        <v>0.000</v>
      </c>
      <c r="AC107" s="194"/>
      <c r="AD107" s="21"/>
      <c r="AE107" s="21"/>
      <c r="AF107" s="21"/>
      <c r="AG107" s="21"/>
      <c r="AH107" s="21"/>
      <c r="AI107" s="21"/>
      <c r="AJ107" s="21"/>
      <c r="AK107" s="21"/>
    </row>
    <row r="108" spans="1:37" ht="19" x14ac:dyDescent="0.25">
      <c r="A108" s="48" t="s">
        <v>558</v>
      </c>
      <c r="B108" s="113"/>
      <c r="C108" s="21" t="s">
        <v>433</v>
      </c>
      <c r="D108" s="21"/>
      <c r="E108" s="21"/>
      <c r="F108" s="21"/>
      <c r="G108" s="21"/>
      <c r="H108" s="74">
        <f>B108*0.00001596</f>
        <v>0</v>
      </c>
      <c r="I108" s="180"/>
      <c r="J108" s="41">
        <v>69</v>
      </c>
      <c r="K108" s="43"/>
      <c r="L108" s="43"/>
      <c r="M108" s="43"/>
      <c r="N108" s="21" t="e">
        <f t="shared" si="7"/>
        <v>#N/A</v>
      </c>
      <c r="O108" s="21"/>
      <c r="P108" s="21"/>
      <c r="Q108" s="74">
        <f t="shared" si="15"/>
        <v>0</v>
      </c>
      <c r="R108" s="222" t="str">
        <f t="shared" si="17"/>
        <v>0.000</v>
      </c>
      <c r="S108" s="194"/>
      <c r="T108" s="41">
        <v>70</v>
      </c>
      <c r="U108" s="43"/>
      <c r="V108" s="43"/>
      <c r="W108" s="43"/>
      <c r="X108" s="21" t="e">
        <f t="shared" si="11"/>
        <v>#N/A</v>
      </c>
      <c r="Y108" s="21"/>
      <c r="Z108" s="21"/>
      <c r="AA108" s="74">
        <f t="shared" si="14"/>
        <v>0</v>
      </c>
      <c r="AB108" s="222" t="str">
        <f t="shared" si="16"/>
        <v>0.000</v>
      </c>
      <c r="AC108" s="194"/>
      <c r="AD108" s="21"/>
      <c r="AE108" s="21"/>
      <c r="AF108" s="21"/>
      <c r="AG108" s="21"/>
      <c r="AH108" s="21"/>
      <c r="AI108" s="21"/>
      <c r="AJ108" s="21"/>
      <c r="AK108" s="21"/>
    </row>
    <row r="109" spans="1:37" ht="19" x14ac:dyDescent="0.25">
      <c r="A109" s="48" t="s">
        <v>562</v>
      </c>
      <c r="B109" s="113"/>
      <c r="C109" s="21" t="s">
        <v>433</v>
      </c>
      <c r="D109" s="21"/>
      <c r="E109" s="21"/>
      <c r="F109" s="21"/>
      <c r="G109" s="21"/>
      <c r="H109" s="74">
        <f>B109*0.6545/1000</f>
        <v>0</v>
      </c>
      <c r="I109" s="180"/>
      <c r="J109" s="41">
        <v>70</v>
      </c>
      <c r="K109" s="43"/>
      <c r="L109" s="43"/>
      <c r="M109" s="43"/>
      <c r="N109" s="21" t="e">
        <f t="shared" ref="N109:N172" si="18">VLOOKUP(L109,Matrix_véhicule,4,FALSE)</f>
        <v>#N/A</v>
      </c>
      <c r="O109" s="21"/>
      <c r="P109" s="21"/>
      <c r="Q109" s="74">
        <f t="shared" si="15"/>
        <v>0</v>
      </c>
      <c r="R109" s="222" t="str">
        <f t="shared" si="17"/>
        <v>0.000</v>
      </c>
      <c r="S109" s="194"/>
      <c r="T109" s="41">
        <v>71</v>
      </c>
      <c r="U109" s="43"/>
      <c r="V109" s="43"/>
      <c r="W109" s="43"/>
      <c r="X109" s="21" t="e">
        <f t="shared" si="11"/>
        <v>#N/A</v>
      </c>
      <c r="Y109" s="21"/>
      <c r="Z109" s="21"/>
      <c r="AA109" s="74">
        <f t="shared" si="14"/>
        <v>0</v>
      </c>
      <c r="AB109" s="222" t="str">
        <f t="shared" si="16"/>
        <v>0.000</v>
      </c>
      <c r="AC109" s="194"/>
      <c r="AD109" s="21"/>
      <c r="AE109" s="21"/>
      <c r="AF109" s="21"/>
      <c r="AG109" s="21"/>
      <c r="AH109" s="21"/>
      <c r="AI109" s="21"/>
      <c r="AJ109" s="21"/>
      <c r="AK109" s="21"/>
    </row>
    <row r="110" spans="1:37" ht="19" x14ac:dyDescent="0.25">
      <c r="A110" s="48" t="s">
        <v>269</v>
      </c>
      <c r="B110" s="113"/>
      <c r="C110" s="21" t="s">
        <v>426</v>
      </c>
      <c r="H110" s="74">
        <f>B110*1.778/1000</f>
        <v>0</v>
      </c>
      <c r="I110" s="180"/>
      <c r="J110" s="41">
        <v>71</v>
      </c>
      <c r="K110" s="43"/>
      <c r="L110" s="43"/>
      <c r="M110" s="43"/>
      <c r="N110" s="21" t="e">
        <f t="shared" si="18"/>
        <v>#N/A</v>
      </c>
      <c r="O110" s="21"/>
      <c r="P110" s="21"/>
      <c r="Q110" s="74">
        <f t="shared" si="15"/>
        <v>0</v>
      </c>
      <c r="R110" s="222" t="str">
        <f t="shared" si="17"/>
        <v>0.000</v>
      </c>
      <c r="S110" s="194"/>
      <c r="T110" s="41">
        <v>72</v>
      </c>
      <c r="U110" s="43"/>
      <c r="V110" s="43"/>
      <c r="W110" s="43"/>
      <c r="X110" s="21" t="e">
        <f t="shared" si="11"/>
        <v>#N/A</v>
      </c>
      <c r="Y110" s="21"/>
      <c r="Z110" s="21"/>
      <c r="AA110" s="74">
        <f t="shared" si="14"/>
        <v>0</v>
      </c>
      <c r="AB110" s="222" t="str">
        <f t="shared" si="16"/>
        <v>0.000</v>
      </c>
      <c r="AC110" s="194"/>
      <c r="AD110" s="21"/>
      <c r="AE110" s="21"/>
      <c r="AF110" s="21"/>
      <c r="AG110" s="21"/>
      <c r="AH110" s="21"/>
      <c r="AI110" s="21"/>
      <c r="AJ110" s="21"/>
      <c r="AK110" s="21"/>
    </row>
    <row r="111" spans="1:37" ht="19" x14ac:dyDescent="0.25">
      <c r="A111" s="48" t="s">
        <v>268</v>
      </c>
      <c r="B111" s="113"/>
      <c r="C111" s="21" t="s">
        <v>426</v>
      </c>
      <c r="H111" s="74">
        <f>B111*1.528/1000</f>
        <v>0</v>
      </c>
      <c r="I111" s="180"/>
      <c r="J111" s="41">
        <v>72</v>
      </c>
      <c r="K111" s="43"/>
      <c r="L111" s="43"/>
      <c r="M111" s="43"/>
      <c r="N111" s="21" t="e">
        <f t="shared" si="18"/>
        <v>#N/A</v>
      </c>
      <c r="O111" s="21"/>
      <c r="P111" s="21"/>
      <c r="Q111" s="74">
        <f t="shared" si="15"/>
        <v>0</v>
      </c>
      <c r="R111" s="222" t="str">
        <f t="shared" si="17"/>
        <v>0.000</v>
      </c>
      <c r="S111" s="194"/>
      <c r="T111" s="41">
        <v>73</v>
      </c>
      <c r="U111" s="43"/>
      <c r="V111" s="43"/>
      <c r="W111" s="43"/>
      <c r="X111" s="21" t="e">
        <f t="shared" si="11"/>
        <v>#N/A</v>
      </c>
      <c r="Y111" s="21"/>
      <c r="Z111" s="21"/>
      <c r="AA111" s="74">
        <f t="shared" si="14"/>
        <v>0</v>
      </c>
      <c r="AB111" s="222" t="str">
        <f t="shared" si="16"/>
        <v>0.000</v>
      </c>
      <c r="AC111" s="194"/>
      <c r="AD111" s="21"/>
      <c r="AE111" s="21"/>
      <c r="AF111" s="21"/>
      <c r="AG111" s="21"/>
      <c r="AH111" s="21"/>
      <c r="AI111" s="21"/>
      <c r="AJ111" s="21"/>
      <c r="AK111" s="21"/>
    </row>
    <row r="112" spans="1:37" ht="19" x14ac:dyDescent="0.25">
      <c r="A112" s="48" t="s">
        <v>267</v>
      </c>
      <c r="B112" s="113"/>
      <c r="C112" s="21" t="s">
        <v>426</v>
      </c>
      <c r="H112" s="74">
        <f>B112*0.013/1000</f>
        <v>0</v>
      </c>
      <c r="I112" s="180"/>
      <c r="J112" s="41">
        <v>73</v>
      </c>
      <c r="K112" s="43"/>
      <c r="L112" s="43"/>
      <c r="M112" s="43"/>
      <c r="N112" s="21" t="e">
        <f t="shared" si="18"/>
        <v>#N/A</v>
      </c>
      <c r="O112" s="21"/>
      <c r="P112" s="21"/>
      <c r="Q112" s="74">
        <f t="shared" si="15"/>
        <v>0</v>
      </c>
      <c r="R112" s="222" t="str">
        <f t="shared" si="17"/>
        <v>0.000</v>
      </c>
      <c r="S112" s="194"/>
      <c r="T112" s="41">
        <v>74</v>
      </c>
      <c r="U112" s="43"/>
      <c r="V112" s="43"/>
      <c r="W112" s="43"/>
      <c r="X112" s="21" t="e">
        <f t="shared" si="11"/>
        <v>#N/A</v>
      </c>
      <c r="Y112" s="21"/>
      <c r="Z112" s="21"/>
      <c r="AA112" s="74">
        <f t="shared" si="14"/>
        <v>0</v>
      </c>
      <c r="AB112" s="222" t="str">
        <f t="shared" si="16"/>
        <v>0.000</v>
      </c>
      <c r="AC112" s="194"/>
      <c r="AD112" s="21"/>
      <c r="AE112" s="21"/>
      <c r="AF112" s="21"/>
      <c r="AG112" s="21"/>
      <c r="AH112" s="21"/>
      <c r="AI112" s="21"/>
      <c r="AJ112" s="21"/>
      <c r="AK112" s="21"/>
    </row>
    <row r="113" spans="1:37" ht="19" x14ac:dyDescent="0.25">
      <c r="A113" s="48" t="s">
        <v>266</v>
      </c>
      <c r="B113" s="113"/>
      <c r="C113" s="21" t="s">
        <v>426</v>
      </c>
      <c r="H113" s="74">
        <f>B113*0.258/1000</f>
        <v>0</v>
      </c>
      <c r="I113" s="180"/>
      <c r="J113" s="41">
        <v>74</v>
      </c>
      <c r="K113" s="43"/>
      <c r="L113" s="43"/>
      <c r="M113" s="43"/>
      <c r="N113" s="21" t="e">
        <f t="shared" si="18"/>
        <v>#N/A</v>
      </c>
      <c r="O113" s="21"/>
      <c r="P113" s="21"/>
      <c r="Q113" s="74">
        <f t="shared" si="15"/>
        <v>0</v>
      </c>
      <c r="R113" s="222" t="str">
        <f t="shared" si="17"/>
        <v>0.000</v>
      </c>
      <c r="S113" s="194"/>
      <c r="T113" s="41">
        <v>75</v>
      </c>
      <c r="U113" s="43"/>
      <c r="V113" s="43"/>
      <c r="W113" s="43"/>
      <c r="X113" s="21" t="e">
        <f t="shared" si="11"/>
        <v>#N/A</v>
      </c>
      <c r="Y113" s="21"/>
      <c r="Z113" s="21"/>
      <c r="AA113" s="74">
        <f t="shared" si="14"/>
        <v>0</v>
      </c>
      <c r="AB113" s="222" t="str">
        <f t="shared" si="16"/>
        <v>0.000</v>
      </c>
      <c r="AC113" s="194"/>
      <c r="AD113" s="21"/>
      <c r="AE113" s="21"/>
      <c r="AF113" s="21"/>
      <c r="AG113" s="21"/>
      <c r="AH113" s="21"/>
      <c r="AI113" s="21"/>
      <c r="AJ113" s="21"/>
      <c r="AK113" s="21"/>
    </row>
    <row r="114" spans="1:37" ht="19" x14ac:dyDescent="0.25">
      <c r="H114" s="14"/>
      <c r="I114" s="196"/>
      <c r="J114" s="41">
        <v>75</v>
      </c>
      <c r="K114" s="43"/>
      <c r="L114" s="43"/>
      <c r="M114" s="43"/>
      <c r="N114" s="21" t="e">
        <f t="shared" si="18"/>
        <v>#N/A</v>
      </c>
      <c r="O114" s="21"/>
      <c r="P114" s="21"/>
      <c r="Q114" s="74">
        <f t="shared" si="15"/>
        <v>0</v>
      </c>
      <c r="R114" s="222" t="str">
        <f t="shared" si="17"/>
        <v>0.000</v>
      </c>
      <c r="S114" s="194"/>
      <c r="T114" s="41">
        <v>76</v>
      </c>
      <c r="U114" s="43"/>
      <c r="V114" s="43"/>
      <c r="W114" s="43"/>
      <c r="X114" s="21" t="e">
        <f t="shared" si="11"/>
        <v>#N/A</v>
      </c>
      <c r="Y114" s="21"/>
      <c r="Z114" s="21"/>
      <c r="AA114" s="74">
        <f t="shared" si="14"/>
        <v>0</v>
      </c>
      <c r="AB114" s="222" t="str">
        <f t="shared" si="16"/>
        <v>0.000</v>
      </c>
      <c r="AC114" s="194"/>
      <c r="AD114" s="21"/>
      <c r="AE114" s="21"/>
      <c r="AF114" s="21"/>
      <c r="AG114" s="21"/>
      <c r="AH114" s="21"/>
      <c r="AI114" s="21"/>
      <c r="AJ114" s="21"/>
      <c r="AK114" s="21"/>
    </row>
    <row r="115" spans="1:37" ht="20" thickBot="1" x14ac:dyDescent="0.3">
      <c r="A115" s="6"/>
      <c r="B115" s="6"/>
      <c r="C115" s="6"/>
      <c r="D115" s="6"/>
      <c r="E115" s="6"/>
      <c r="F115" s="6"/>
      <c r="G115" s="6"/>
      <c r="H115" s="13"/>
      <c r="I115" s="195"/>
      <c r="J115" s="41">
        <v>76</v>
      </c>
      <c r="K115" s="43"/>
      <c r="L115" s="43"/>
      <c r="M115" s="43"/>
      <c r="N115" s="21" t="e">
        <f t="shared" si="18"/>
        <v>#N/A</v>
      </c>
      <c r="O115" s="21"/>
      <c r="P115" s="21"/>
      <c r="Q115" s="74">
        <f t="shared" si="15"/>
        <v>0</v>
      </c>
      <c r="R115" s="222" t="str">
        <f t="shared" si="17"/>
        <v>0.000</v>
      </c>
      <c r="S115" s="194"/>
      <c r="T115" s="41">
        <v>77</v>
      </c>
      <c r="U115" s="43"/>
      <c r="V115" s="43"/>
      <c r="W115" s="43"/>
      <c r="X115" s="21" t="e">
        <f t="shared" si="11"/>
        <v>#N/A</v>
      </c>
      <c r="Y115" s="21"/>
      <c r="Z115" s="21"/>
      <c r="AA115" s="74">
        <f t="shared" si="14"/>
        <v>0</v>
      </c>
      <c r="AB115" s="222" t="str">
        <f t="shared" si="16"/>
        <v>0.000</v>
      </c>
      <c r="AC115" s="194"/>
      <c r="AD115" s="21"/>
      <c r="AE115" s="21"/>
      <c r="AF115" s="21"/>
      <c r="AG115" s="21"/>
      <c r="AH115" s="21"/>
      <c r="AI115" s="21"/>
      <c r="AJ115" s="21"/>
      <c r="AK115" s="21"/>
    </row>
    <row r="116" spans="1:37" ht="19" x14ac:dyDescent="0.25">
      <c r="A116" s="91"/>
      <c r="B116" s="228"/>
      <c r="C116" s="21"/>
      <c r="D116" s="228"/>
      <c r="H116" s="72"/>
      <c r="I116" s="229"/>
      <c r="J116" s="41">
        <v>77</v>
      </c>
      <c r="K116" s="43"/>
      <c r="L116" s="43"/>
      <c r="M116" s="43"/>
      <c r="N116" s="21" t="e">
        <f t="shared" si="18"/>
        <v>#N/A</v>
      </c>
      <c r="O116" s="21"/>
      <c r="P116" s="21"/>
      <c r="Q116" s="74">
        <f t="shared" si="15"/>
        <v>0</v>
      </c>
      <c r="R116" s="222" t="str">
        <f t="shared" si="17"/>
        <v>0.000</v>
      </c>
      <c r="S116" s="194"/>
      <c r="T116" s="41">
        <v>78</v>
      </c>
      <c r="U116" s="43"/>
      <c r="V116" s="43"/>
      <c r="W116" s="43"/>
      <c r="X116" s="21" t="e">
        <f t="shared" si="11"/>
        <v>#N/A</v>
      </c>
      <c r="Y116" s="21"/>
      <c r="Z116" s="21"/>
      <c r="AA116" s="74">
        <f t="shared" si="14"/>
        <v>0</v>
      </c>
      <c r="AB116" s="222" t="str">
        <f t="shared" si="16"/>
        <v>0.000</v>
      </c>
      <c r="AC116" s="194"/>
      <c r="AD116" s="21"/>
      <c r="AE116" s="21"/>
      <c r="AF116" s="21"/>
      <c r="AG116" s="21"/>
      <c r="AH116" s="21"/>
      <c r="AI116" s="21"/>
      <c r="AJ116" s="21"/>
      <c r="AK116" s="21"/>
    </row>
    <row r="117" spans="1:37" ht="19" x14ac:dyDescent="0.25">
      <c r="A117" s="91"/>
      <c r="B117" s="228"/>
      <c r="C117" s="21"/>
      <c r="D117" s="228"/>
      <c r="H117" s="72"/>
      <c r="I117" s="230"/>
      <c r="J117" s="41">
        <v>78</v>
      </c>
      <c r="K117" s="43"/>
      <c r="L117" s="43"/>
      <c r="M117" s="43"/>
      <c r="N117" s="21" t="e">
        <f t="shared" si="18"/>
        <v>#N/A</v>
      </c>
      <c r="O117" s="21"/>
      <c r="P117" s="21"/>
      <c r="Q117" s="74">
        <f t="shared" si="15"/>
        <v>0</v>
      </c>
      <c r="R117" s="222" t="str">
        <f t="shared" si="17"/>
        <v>0.000</v>
      </c>
      <c r="S117" s="194"/>
      <c r="T117" s="41">
        <v>79</v>
      </c>
      <c r="U117" s="43"/>
      <c r="V117" s="43"/>
      <c r="W117" s="43"/>
      <c r="X117" s="21" t="e">
        <f t="shared" si="11"/>
        <v>#N/A</v>
      </c>
      <c r="Y117" s="21"/>
      <c r="Z117" s="21"/>
      <c r="AA117" s="74">
        <f t="shared" si="14"/>
        <v>0</v>
      </c>
      <c r="AB117" s="222" t="str">
        <f t="shared" si="16"/>
        <v>0.000</v>
      </c>
      <c r="AC117" s="194"/>
      <c r="AD117" s="21"/>
      <c r="AE117" s="21"/>
      <c r="AF117" s="21"/>
      <c r="AG117" s="21"/>
      <c r="AH117" s="21"/>
      <c r="AI117" s="21"/>
      <c r="AJ117" s="21"/>
      <c r="AK117" s="21"/>
    </row>
    <row r="118" spans="1:37" ht="19" x14ac:dyDescent="0.25">
      <c r="I118" s="190"/>
      <c r="J118" s="41">
        <v>79</v>
      </c>
      <c r="K118" s="43"/>
      <c r="L118" s="43"/>
      <c r="M118" s="43"/>
      <c r="N118" s="21" t="e">
        <f t="shared" si="18"/>
        <v>#N/A</v>
      </c>
      <c r="O118" s="21"/>
      <c r="P118" s="21"/>
      <c r="Q118" s="74">
        <f t="shared" si="15"/>
        <v>0</v>
      </c>
      <c r="R118" s="222" t="str">
        <f t="shared" si="17"/>
        <v>0.000</v>
      </c>
      <c r="S118" s="194"/>
      <c r="T118" s="41">
        <v>80</v>
      </c>
      <c r="U118" s="43"/>
      <c r="V118" s="43"/>
      <c r="W118" s="43"/>
      <c r="X118" s="21" t="e">
        <f t="shared" si="11"/>
        <v>#N/A</v>
      </c>
      <c r="Y118" s="21"/>
      <c r="Z118" s="21"/>
      <c r="AA118" s="74">
        <f t="shared" si="14"/>
        <v>0</v>
      </c>
      <c r="AB118" s="222" t="str">
        <f t="shared" si="16"/>
        <v>0.000</v>
      </c>
      <c r="AC118" s="194"/>
      <c r="AD118" s="21"/>
      <c r="AE118" s="21"/>
      <c r="AF118" s="21"/>
      <c r="AG118" s="21"/>
      <c r="AH118" s="21"/>
      <c r="AI118" s="21"/>
      <c r="AJ118" s="21"/>
      <c r="AK118" s="21"/>
    </row>
    <row r="119" spans="1:37" ht="19" x14ac:dyDescent="0.25">
      <c r="I119" s="14"/>
      <c r="J119" s="41">
        <v>80</v>
      </c>
      <c r="K119" s="43"/>
      <c r="L119" s="43"/>
      <c r="M119" s="43"/>
      <c r="N119" s="21" t="e">
        <f t="shared" si="18"/>
        <v>#N/A</v>
      </c>
      <c r="O119" s="21"/>
      <c r="P119" s="21"/>
      <c r="Q119" s="74">
        <f t="shared" si="15"/>
        <v>0</v>
      </c>
      <c r="R119" s="222" t="str">
        <f t="shared" si="17"/>
        <v>0.000</v>
      </c>
      <c r="S119" s="194"/>
      <c r="T119" s="41">
        <v>81</v>
      </c>
      <c r="U119" s="43"/>
      <c r="V119" s="43"/>
      <c r="W119" s="43"/>
      <c r="X119" s="21" t="e">
        <f t="shared" si="11"/>
        <v>#N/A</v>
      </c>
      <c r="Y119" s="21"/>
      <c r="Z119" s="21"/>
      <c r="AA119" s="74">
        <f t="shared" si="14"/>
        <v>0</v>
      </c>
      <c r="AB119" s="222" t="str">
        <f t="shared" si="16"/>
        <v>0.000</v>
      </c>
      <c r="AC119" s="194"/>
      <c r="AD119" s="21"/>
      <c r="AE119" s="21"/>
      <c r="AF119" s="21"/>
      <c r="AG119" s="21"/>
      <c r="AH119" s="21"/>
      <c r="AI119" s="21"/>
      <c r="AJ119" s="21"/>
      <c r="AK119" s="21"/>
    </row>
    <row r="120" spans="1:37" ht="19" x14ac:dyDescent="0.25">
      <c r="I120" s="14"/>
      <c r="J120" s="41">
        <v>81</v>
      </c>
      <c r="K120" s="43"/>
      <c r="L120" s="43"/>
      <c r="M120" s="43"/>
      <c r="N120" s="21" t="e">
        <f t="shared" si="18"/>
        <v>#N/A</v>
      </c>
      <c r="O120" s="21"/>
      <c r="P120" s="21"/>
      <c r="Q120" s="74">
        <f t="shared" si="15"/>
        <v>0</v>
      </c>
      <c r="R120" s="222" t="str">
        <f t="shared" si="17"/>
        <v>0.000</v>
      </c>
      <c r="S120" s="194"/>
      <c r="T120" s="41">
        <v>82</v>
      </c>
      <c r="U120" s="43"/>
      <c r="V120" s="43"/>
      <c r="W120" s="43"/>
      <c r="X120" s="21" t="e">
        <f t="shared" si="11"/>
        <v>#N/A</v>
      </c>
      <c r="Y120" s="21"/>
      <c r="Z120" s="21"/>
      <c r="AA120" s="74">
        <f t="shared" si="14"/>
        <v>0</v>
      </c>
      <c r="AB120" s="222" t="str">
        <f t="shared" si="16"/>
        <v>0.000</v>
      </c>
      <c r="AC120" s="194"/>
      <c r="AD120" s="21"/>
      <c r="AE120" s="21"/>
      <c r="AF120" s="21"/>
      <c r="AG120" s="21"/>
      <c r="AH120" s="21"/>
      <c r="AI120" s="21"/>
      <c r="AJ120" s="21"/>
      <c r="AK120" s="21"/>
    </row>
    <row r="121" spans="1:37" ht="19" x14ac:dyDescent="0.25">
      <c r="I121" s="14"/>
      <c r="J121" s="41">
        <v>82</v>
      </c>
      <c r="K121" s="43"/>
      <c r="L121" s="43"/>
      <c r="M121" s="43"/>
      <c r="N121" s="21" t="e">
        <f t="shared" si="18"/>
        <v>#N/A</v>
      </c>
      <c r="O121" s="21"/>
      <c r="P121" s="21"/>
      <c r="Q121" s="74">
        <f t="shared" si="15"/>
        <v>0</v>
      </c>
      <c r="R121" s="222" t="str">
        <f t="shared" si="17"/>
        <v>0.000</v>
      </c>
      <c r="S121" s="194"/>
      <c r="T121" s="41">
        <v>83</v>
      </c>
      <c r="U121" s="43"/>
      <c r="V121" s="43"/>
      <c r="W121" s="43"/>
      <c r="X121" s="21" t="e">
        <f t="shared" si="11"/>
        <v>#N/A</v>
      </c>
      <c r="Y121" s="21"/>
      <c r="Z121" s="21"/>
      <c r="AA121" s="74">
        <f t="shared" si="14"/>
        <v>0</v>
      </c>
      <c r="AB121" s="222" t="str">
        <f t="shared" si="16"/>
        <v>0.000</v>
      </c>
      <c r="AC121" s="194"/>
      <c r="AD121" s="21"/>
      <c r="AE121" s="21"/>
      <c r="AF121" s="21"/>
      <c r="AG121" s="21"/>
      <c r="AH121" s="21"/>
      <c r="AI121" s="21"/>
      <c r="AJ121" s="21"/>
      <c r="AK121" s="21"/>
    </row>
    <row r="122" spans="1:37" ht="19" x14ac:dyDescent="0.25">
      <c r="I122" s="14"/>
      <c r="J122" s="41">
        <v>83</v>
      </c>
      <c r="K122" s="43"/>
      <c r="L122" s="43"/>
      <c r="M122" s="43"/>
      <c r="N122" s="21" t="e">
        <f t="shared" si="18"/>
        <v>#N/A</v>
      </c>
      <c r="O122" s="21"/>
      <c r="P122" s="21"/>
      <c r="Q122" s="74">
        <f t="shared" si="15"/>
        <v>0</v>
      </c>
      <c r="R122" s="222" t="str">
        <f t="shared" si="17"/>
        <v>0.000</v>
      </c>
      <c r="S122" s="194"/>
      <c r="T122" s="41">
        <v>84</v>
      </c>
      <c r="U122" s="43"/>
      <c r="V122" s="43"/>
      <c r="W122" s="43"/>
      <c r="X122" s="21" t="e">
        <f t="shared" si="11"/>
        <v>#N/A</v>
      </c>
      <c r="Y122" s="21"/>
      <c r="Z122" s="21"/>
      <c r="AA122" s="74">
        <f t="shared" si="14"/>
        <v>0</v>
      </c>
      <c r="AB122" s="222" t="str">
        <f t="shared" si="16"/>
        <v>0.000</v>
      </c>
      <c r="AC122" s="194"/>
      <c r="AD122" s="21"/>
      <c r="AE122" s="21"/>
      <c r="AF122" s="21"/>
      <c r="AG122" s="21"/>
      <c r="AH122" s="21"/>
      <c r="AI122" s="21"/>
      <c r="AJ122" s="21"/>
      <c r="AK122" s="21"/>
    </row>
    <row r="123" spans="1:37" ht="19" x14ac:dyDescent="0.25">
      <c r="I123" s="14"/>
      <c r="J123" s="41">
        <v>84</v>
      </c>
      <c r="K123" s="43"/>
      <c r="L123" s="43"/>
      <c r="M123" s="43"/>
      <c r="N123" s="21" t="e">
        <f t="shared" si="18"/>
        <v>#N/A</v>
      </c>
      <c r="O123" s="21"/>
      <c r="P123" s="21"/>
      <c r="Q123" s="74">
        <f t="shared" si="15"/>
        <v>0</v>
      </c>
      <c r="R123" s="222" t="str">
        <f t="shared" si="17"/>
        <v>0.000</v>
      </c>
      <c r="S123" s="194"/>
      <c r="T123" s="41">
        <v>85</v>
      </c>
      <c r="U123" s="43"/>
      <c r="V123" s="43"/>
      <c r="W123" s="43"/>
      <c r="X123" s="21" t="e">
        <f t="shared" si="11"/>
        <v>#N/A</v>
      </c>
      <c r="Y123" s="21"/>
      <c r="Z123" s="21"/>
      <c r="AA123" s="74">
        <f t="shared" si="14"/>
        <v>0</v>
      </c>
      <c r="AB123" s="222" t="str">
        <f t="shared" si="16"/>
        <v>0.000</v>
      </c>
      <c r="AC123" s="194"/>
      <c r="AD123" s="21"/>
      <c r="AE123" s="21"/>
      <c r="AF123" s="21"/>
      <c r="AG123" s="21"/>
      <c r="AH123" s="21"/>
      <c r="AI123" s="21"/>
      <c r="AJ123" s="21"/>
      <c r="AK123" s="21"/>
    </row>
    <row r="124" spans="1:37" ht="19" x14ac:dyDescent="0.25">
      <c r="I124" s="14"/>
      <c r="J124" s="41">
        <v>85</v>
      </c>
      <c r="K124" s="43"/>
      <c r="L124" s="43"/>
      <c r="M124" s="43"/>
      <c r="N124" s="21" t="e">
        <f t="shared" si="18"/>
        <v>#N/A</v>
      </c>
      <c r="O124" s="21"/>
      <c r="P124" s="21"/>
      <c r="Q124" s="74">
        <f t="shared" si="15"/>
        <v>0</v>
      </c>
      <c r="R124" s="222" t="str">
        <f t="shared" si="17"/>
        <v>0.000</v>
      </c>
      <c r="S124" s="194"/>
      <c r="T124" s="41">
        <v>86</v>
      </c>
      <c r="U124" s="43"/>
      <c r="V124" s="43"/>
      <c r="W124" s="43"/>
      <c r="X124" s="21" t="e">
        <f t="shared" ref="X124:X187" si="19">VLOOKUP(V124,Matrix_véhicule,4,FALSE)</f>
        <v>#N/A</v>
      </c>
      <c r="Y124" s="21"/>
      <c r="Z124" s="21"/>
      <c r="AA124" s="74">
        <f t="shared" si="14"/>
        <v>0</v>
      </c>
      <c r="AB124" s="222" t="str">
        <f t="shared" si="16"/>
        <v>0.000</v>
      </c>
      <c r="AC124" s="194"/>
      <c r="AD124" s="21"/>
      <c r="AE124" s="21"/>
      <c r="AF124" s="21"/>
      <c r="AG124" s="21"/>
      <c r="AH124" s="21"/>
      <c r="AI124" s="21"/>
      <c r="AJ124" s="21"/>
      <c r="AK124" s="21"/>
    </row>
    <row r="125" spans="1:37" ht="19" x14ac:dyDescent="0.25">
      <c r="I125" s="14"/>
      <c r="J125" s="41">
        <v>86</v>
      </c>
      <c r="K125" s="43"/>
      <c r="L125" s="43"/>
      <c r="M125" s="43"/>
      <c r="N125" s="21" t="e">
        <f t="shared" si="18"/>
        <v>#N/A</v>
      </c>
      <c r="O125" s="21"/>
      <c r="P125" s="21"/>
      <c r="Q125" s="74">
        <f t="shared" si="15"/>
        <v>0</v>
      </c>
      <c r="R125" s="222" t="str">
        <f t="shared" si="17"/>
        <v>0.000</v>
      </c>
      <c r="S125" s="194"/>
      <c r="T125" s="41">
        <v>87</v>
      </c>
      <c r="U125" s="43"/>
      <c r="V125" s="43"/>
      <c r="W125" s="43"/>
      <c r="X125" s="21" t="e">
        <f t="shared" si="19"/>
        <v>#N/A</v>
      </c>
      <c r="Y125" s="21"/>
      <c r="Z125" s="21"/>
      <c r="AA125" s="74">
        <f t="shared" si="14"/>
        <v>0</v>
      </c>
      <c r="AB125" s="222" t="str">
        <f t="shared" si="16"/>
        <v>0.000</v>
      </c>
      <c r="AC125" s="194"/>
      <c r="AD125" s="21"/>
      <c r="AE125" s="21"/>
      <c r="AF125" s="21"/>
      <c r="AG125" s="21"/>
      <c r="AH125" s="21"/>
      <c r="AI125" s="21"/>
      <c r="AJ125" s="21"/>
      <c r="AK125" s="21"/>
    </row>
    <row r="126" spans="1:37" ht="19" x14ac:dyDescent="0.25">
      <c r="I126" s="14"/>
      <c r="J126" s="41">
        <v>87</v>
      </c>
      <c r="K126" s="43"/>
      <c r="L126" s="43"/>
      <c r="M126" s="43"/>
      <c r="N126" s="21" t="e">
        <f t="shared" si="18"/>
        <v>#N/A</v>
      </c>
      <c r="O126" s="21"/>
      <c r="P126" s="21"/>
      <c r="Q126" s="74">
        <f t="shared" si="15"/>
        <v>0</v>
      </c>
      <c r="R126" s="222" t="str">
        <f t="shared" si="17"/>
        <v>0.000</v>
      </c>
      <c r="S126" s="194"/>
      <c r="T126" s="41">
        <v>88</v>
      </c>
      <c r="U126" s="43"/>
      <c r="V126" s="43"/>
      <c r="W126" s="43"/>
      <c r="X126" s="21" t="e">
        <f t="shared" si="19"/>
        <v>#N/A</v>
      </c>
      <c r="Y126" s="21"/>
      <c r="Z126" s="21"/>
      <c r="AA126" s="74">
        <f t="shared" si="14"/>
        <v>0</v>
      </c>
      <c r="AB126" s="222" t="str">
        <f t="shared" si="16"/>
        <v>0.000</v>
      </c>
      <c r="AC126" s="194"/>
      <c r="AD126" s="21"/>
      <c r="AE126" s="21"/>
      <c r="AF126" s="21"/>
      <c r="AG126" s="21"/>
      <c r="AH126" s="21"/>
      <c r="AI126" s="21"/>
      <c r="AJ126" s="21"/>
      <c r="AK126" s="21"/>
    </row>
    <row r="127" spans="1:37" ht="19" x14ac:dyDescent="0.25">
      <c r="I127" s="14"/>
      <c r="J127" s="41">
        <v>88</v>
      </c>
      <c r="K127" s="43"/>
      <c r="L127" s="43"/>
      <c r="M127" s="43"/>
      <c r="N127" s="21" t="e">
        <f t="shared" si="18"/>
        <v>#N/A</v>
      </c>
      <c r="O127" s="21"/>
      <c r="P127" s="21"/>
      <c r="Q127" s="74">
        <f t="shared" si="15"/>
        <v>0</v>
      </c>
      <c r="R127" s="222" t="str">
        <f t="shared" si="17"/>
        <v>0.000</v>
      </c>
      <c r="S127" s="194"/>
      <c r="T127" s="41">
        <v>89</v>
      </c>
      <c r="U127" s="43"/>
      <c r="V127" s="43"/>
      <c r="W127" s="43"/>
      <c r="X127" s="21" t="e">
        <f t="shared" si="19"/>
        <v>#N/A</v>
      </c>
      <c r="Y127" s="21"/>
      <c r="Z127" s="21"/>
      <c r="AA127" s="74">
        <f t="shared" si="14"/>
        <v>0</v>
      </c>
      <c r="AB127" s="222" t="str">
        <f t="shared" si="16"/>
        <v>0.000</v>
      </c>
      <c r="AC127" s="194"/>
      <c r="AD127" s="21"/>
      <c r="AE127" s="21"/>
      <c r="AF127" s="21"/>
      <c r="AG127" s="21"/>
      <c r="AH127" s="21"/>
      <c r="AI127" s="21"/>
      <c r="AJ127" s="21"/>
      <c r="AK127" s="21"/>
    </row>
    <row r="128" spans="1:37" ht="19" x14ac:dyDescent="0.25">
      <c r="I128" s="14"/>
      <c r="J128" s="41">
        <v>89</v>
      </c>
      <c r="K128" s="43"/>
      <c r="L128" s="43"/>
      <c r="M128" s="43"/>
      <c r="N128" s="21" t="e">
        <f t="shared" si="18"/>
        <v>#N/A</v>
      </c>
      <c r="O128" s="21"/>
      <c r="P128" s="21"/>
      <c r="Q128" s="74">
        <f t="shared" si="15"/>
        <v>0</v>
      </c>
      <c r="R128" s="222" t="str">
        <f t="shared" si="17"/>
        <v>0.000</v>
      </c>
      <c r="S128" s="194"/>
      <c r="T128" s="41">
        <v>90</v>
      </c>
      <c r="U128" s="43"/>
      <c r="V128" s="43"/>
      <c r="W128" s="43"/>
      <c r="X128" s="21" t="e">
        <f t="shared" si="19"/>
        <v>#N/A</v>
      </c>
      <c r="Y128" s="21"/>
      <c r="Z128" s="21"/>
      <c r="AA128" s="74">
        <f t="shared" si="14"/>
        <v>0</v>
      </c>
      <c r="AB128" s="222" t="str">
        <f t="shared" si="16"/>
        <v>0.000</v>
      </c>
      <c r="AC128" s="194"/>
      <c r="AD128" s="21"/>
      <c r="AE128" s="21"/>
      <c r="AF128" s="21"/>
      <c r="AG128" s="21"/>
      <c r="AH128" s="21"/>
      <c r="AI128" s="21"/>
      <c r="AJ128" s="21"/>
      <c r="AK128" s="21"/>
    </row>
    <row r="129" spans="9:37" ht="19" x14ac:dyDescent="0.25">
      <c r="I129" s="14"/>
      <c r="J129" s="41">
        <v>90</v>
      </c>
      <c r="K129" s="43"/>
      <c r="L129" s="43"/>
      <c r="M129" s="43"/>
      <c r="N129" s="21" t="e">
        <f t="shared" si="18"/>
        <v>#N/A</v>
      </c>
      <c r="O129" s="21"/>
      <c r="P129" s="21"/>
      <c r="Q129" s="74">
        <f t="shared" si="15"/>
        <v>0</v>
      </c>
      <c r="R129" s="222" t="str">
        <f t="shared" si="17"/>
        <v>0.000</v>
      </c>
      <c r="S129" s="194"/>
      <c r="T129" s="41">
        <v>91</v>
      </c>
      <c r="U129" s="43"/>
      <c r="V129" s="43"/>
      <c r="W129" s="43"/>
      <c r="X129" s="21" t="e">
        <f t="shared" si="19"/>
        <v>#N/A</v>
      </c>
      <c r="Y129" s="21"/>
      <c r="Z129" s="21"/>
      <c r="AA129" s="74">
        <f t="shared" si="14"/>
        <v>0</v>
      </c>
      <c r="AB129" s="222" t="str">
        <f t="shared" si="16"/>
        <v>0.000</v>
      </c>
      <c r="AC129" s="194"/>
      <c r="AD129" s="21"/>
      <c r="AE129" s="21"/>
      <c r="AF129" s="21"/>
      <c r="AG129" s="21"/>
      <c r="AH129" s="21"/>
      <c r="AI129" s="21"/>
      <c r="AJ129" s="21"/>
      <c r="AK129" s="21"/>
    </row>
    <row r="130" spans="9:37" ht="19" x14ac:dyDescent="0.25">
      <c r="I130" s="14"/>
      <c r="J130" s="41">
        <v>91</v>
      </c>
      <c r="K130" s="43"/>
      <c r="L130" s="43"/>
      <c r="M130" s="43"/>
      <c r="N130" s="21" t="e">
        <f t="shared" si="18"/>
        <v>#N/A</v>
      </c>
      <c r="O130" s="21"/>
      <c r="P130" s="21"/>
      <c r="Q130" s="74">
        <f t="shared" si="15"/>
        <v>0</v>
      </c>
      <c r="R130" s="222" t="str">
        <f t="shared" si="17"/>
        <v>0.000</v>
      </c>
      <c r="S130" s="194"/>
      <c r="T130" s="41">
        <v>92</v>
      </c>
      <c r="U130" s="43"/>
      <c r="V130" s="43"/>
      <c r="W130" s="43"/>
      <c r="X130" s="21" t="e">
        <f t="shared" si="19"/>
        <v>#N/A</v>
      </c>
      <c r="Y130" s="21"/>
      <c r="Z130" s="21"/>
      <c r="AA130" s="74">
        <f t="shared" si="14"/>
        <v>0</v>
      </c>
      <c r="AB130" s="222" t="str">
        <f t="shared" si="16"/>
        <v>0.000</v>
      </c>
      <c r="AC130" s="194"/>
      <c r="AD130" s="21"/>
      <c r="AE130" s="21"/>
      <c r="AF130" s="21"/>
      <c r="AG130" s="21"/>
      <c r="AH130" s="21"/>
      <c r="AI130" s="21"/>
      <c r="AJ130" s="21"/>
      <c r="AK130" s="21"/>
    </row>
    <row r="131" spans="9:37" ht="19" x14ac:dyDescent="0.25">
      <c r="I131" s="14"/>
      <c r="J131" s="41">
        <v>92</v>
      </c>
      <c r="K131" s="43"/>
      <c r="L131" s="43"/>
      <c r="M131" s="43"/>
      <c r="N131" s="21" t="e">
        <f t="shared" si="18"/>
        <v>#N/A</v>
      </c>
      <c r="O131" s="21"/>
      <c r="P131" s="21"/>
      <c r="Q131" s="74">
        <f t="shared" si="15"/>
        <v>0</v>
      </c>
      <c r="R131" s="222" t="str">
        <f t="shared" si="17"/>
        <v>0.000</v>
      </c>
      <c r="S131" s="194"/>
      <c r="T131" s="41">
        <v>93</v>
      </c>
      <c r="U131" s="43"/>
      <c r="V131" s="43"/>
      <c r="W131" s="43"/>
      <c r="X131" s="21" t="e">
        <f t="shared" si="19"/>
        <v>#N/A</v>
      </c>
      <c r="Y131" s="21"/>
      <c r="Z131" s="21"/>
      <c r="AA131" s="74">
        <f t="shared" si="14"/>
        <v>0</v>
      </c>
      <c r="AB131" s="222" t="str">
        <f t="shared" si="16"/>
        <v>0.000</v>
      </c>
      <c r="AC131" s="194"/>
      <c r="AD131" s="21"/>
      <c r="AE131" s="21"/>
      <c r="AF131" s="21"/>
      <c r="AG131" s="21"/>
      <c r="AH131" s="21"/>
      <c r="AI131" s="21"/>
      <c r="AJ131" s="21"/>
      <c r="AK131" s="21"/>
    </row>
    <row r="132" spans="9:37" ht="19" x14ac:dyDescent="0.25">
      <c r="I132" s="14"/>
      <c r="J132" s="41">
        <v>93</v>
      </c>
      <c r="K132" s="43"/>
      <c r="L132" s="43"/>
      <c r="M132" s="43"/>
      <c r="N132" s="21" t="e">
        <f t="shared" si="18"/>
        <v>#N/A</v>
      </c>
      <c r="O132" s="21"/>
      <c r="P132" s="21"/>
      <c r="Q132" s="74">
        <f t="shared" si="15"/>
        <v>0</v>
      </c>
      <c r="R132" s="222" t="str">
        <f t="shared" si="17"/>
        <v>0.000</v>
      </c>
      <c r="S132" s="194"/>
      <c r="T132" s="41">
        <v>94</v>
      </c>
      <c r="U132" s="43"/>
      <c r="V132" s="43"/>
      <c r="W132" s="43"/>
      <c r="X132" s="21" t="e">
        <f t="shared" si="19"/>
        <v>#N/A</v>
      </c>
      <c r="Y132" s="21"/>
      <c r="Z132" s="21"/>
      <c r="AA132" s="74">
        <f t="shared" si="14"/>
        <v>0</v>
      </c>
      <c r="AB132" s="222" t="str">
        <f t="shared" si="16"/>
        <v>0.000</v>
      </c>
      <c r="AC132" s="194"/>
      <c r="AD132" s="21"/>
      <c r="AE132" s="21"/>
      <c r="AF132" s="21"/>
      <c r="AG132" s="21"/>
      <c r="AH132" s="21"/>
      <c r="AI132" s="21"/>
      <c r="AJ132" s="21"/>
      <c r="AK132" s="21"/>
    </row>
    <row r="133" spans="9:37" ht="19" x14ac:dyDescent="0.25">
      <c r="I133" s="14"/>
      <c r="J133" s="41">
        <v>94</v>
      </c>
      <c r="K133" s="43"/>
      <c r="L133" s="43"/>
      <c r="M133" s="43"/>
      <c r="N133" s="21" t="e">
        <f t="shared" si="18"/>
        <v>#N/A</v>
      </c>
      <c r="O133" s="21"/>
      <c r="P133" s="21"/>
      <c r="Q133" s="74">
        <f t="shared" si="15"/>
        <v>0</v>
      </c>
      <c r="R133" s="222" t="str">
        <f t="shared" si="17"/>
        <v>0.000</v>
      </c>
      <c r="S133" s="194"/>
      <c r="T133" s="41">
        <v>95</v>
      </c>
      <c r="U133" s="43"/>
      <c r="V133" s="43"/>
      <c r="W133" s="43"/>
      <c r="X133" s="21" t="e">
        <f t="shared" si="19"/>
        <v>#N/A</v>
      </c>
      <c r="Y133" s="21"/>
      <c r="Z133" s="21"/>
      <c r="AA133" s="74">
        <f t="shared" si="14"/>
        <v>0</v>
      </c>
      <c r="AB133" s="222" t="str">
        <f t="shared" si="16"/>
        <v>0.000</v>
      </c>
      <c r="AC133" s="194"/>
      <c r="AD133" s="21"/>
      <c r="AE133" s="21"/>
      <c r="AF133" s="21"/>
      <c r="AG133" s="21"/>
      <c r="AH133" s="21"/>
      <c r="AI133" s="21"/>
      <c r="AJ133" s="21"/>
      <c r="AK133" s="21"/>
    </row>
    <row r="134" spans="9:37" ht="19" x14ac:dyDescent="0.25">
      <c r="I134" s="14"/>
      <c r="J134" s="41">
        <v>95</v>
      </c>
      <c r="K134" s="43"/>
      <c r="L134" s="43"/>
      <c r="M134" s="43"/>
      <c r="N134" s="21" t="e">
        <f t="shared" si="18"/>
        <v>#N/A</v>
      </c>
      <c r="O134" s="21"/>
      <c r="P134" s="21"/>
      <c r="Q134" s="74">
        <f t="shared" si="15"/>
        <v>0</v>
      </c>
      <c r="R134" s="222" t="str">
        <f t="shared" si="17"/>
        <v>0.000</v>
      </c>
      <c r="S134" s="194"/>
      <c r="T134" s="41">
        <v>96</v>
      </c>
      <c r="U134" s="43"/>
      <c r="V134" s="43"/>
      <c r="W134" s="43"/>
      <c r="X134" s="21" t="e">
        <f t="shared" si="19"/>
        <v>#N/A</v>
      </c>
      <c r="Y134" s="21"/>
      <c r="Z134" s="21"/>
      <c r="AA134" s="74">
        <f t="shared" si="14"/>
        <v>0</v>
      </c>
      <c r="AB134" s="222" t="str">
        <f t="shared" si="16"/>
        <v>0.000</v>
      </c>
      <c r="AC134" s="194"/>
      <c r="AD134" s="21"/>
      <c r="AE134" s="21"/>
      <c r="AF134" s="21"/>
      <c r="AG134" s="21"/>
      <c r="AH134" s="21"/>
      <c r="AI134" s="21"/>
      <c r="AJ134" s="21"/>
      <c r="AK134" s="21"/>
    </row>
    <row r="135" spans="9:37" ht="19" x14ac:dyDescent="0.25">
      <c r="I135" s="14"/>
      <c r="J135" s="41">
        <v>96</v>
      </c>
      <c r="K135" s="43"/>
      <c r="L135" s="43"/>
      <c r="M135" s="43"/>
      <c r="N135" s="21" t="e">
        <f t="shared" si="18"/>
        <v>#N/A</v>
      </c>
      <c r="O135" s="21"/>
      <c r="P135" s="21"/>
      <c r="Q135" s="74">
        <f t="shared" si="15"/>
        <v>0</v>
      </c>
      <c r="R135" s="222" t="str">
        <f t="shared" si="17"/>
        <v>0.000</v>
      </c>
      <c r="S135" s="194"/>
      <c r="T135" s="41">
        <v>97</v>
      </c>
      <c r="U135" s="43"/>
      <c r="V135" s="43"/>
      <c r="W135" s="43"/>
      <c r="X135" s="21" t="e">
        <f t="shared" si="19"/>
        <v>#N/A</v>
      </c>
      <c r="Y135" s="21"/>
      <c r="Z135" s="21"/>
      <c r="AA135" s="74">
        <f t="shared" si="14"/>
        <v>0</v>
      </c>
      <c r="AB135" s="222" t="str">
        <f t="shared" si="16"/>
        <v>0.000</v>
      </c>
      <c r="AC135" s="194"/>
      <c r="AD135" s="21"/>
      <c r="AE135" s="21"/>
      <c r="AF135" s="21"/>
      <c r="AG135" s="21"/>
      <c r="AH135" s="21"/>
      <c r="AI135" s="21"/>
      <c r="AJ135" s="21"/>
      <c r="AK135" s="21"/>
    </row>
    <row r="136" spans="9:37" ht="19" x14ac:dyDescent="0.25">
      <c r="I136" s="14"/>
      <c r="J136" s="41">
        <v>97</v>
      </c>
      <c r="K136" s="43"/>
      <c r="L136" s="43"/>
      <c r="M136" s="43"/>
      <c r="N136" s="21" t="e">
        <f t="shared" si="18"/>
        <v>#N/A</v>
      </c>
      <c r="O136" s="21"/>
      <c r="P136" s="21"/>
      <c r="Q136" s="74">
        <f t="shared" si="15"/>
        <v>0</v>
      </c>
      <c r="R136" s="222" t="str">
        <f t="shared" si="17"/>
        <v>0.000</v>
      </c>
      <c r="S136" s="194"/>
      <c r="T136" s="41">
        <v>98</v>
      </c>
      <c r="U136" s="43"/>
      <c r="V136" s="43"/>
      <c r="W136" s="43"/>
      <c r="X136" s="21" t="e">
        <f t="shared" si="19"/>
        <v>#N/A</v>
      </c>
      <c r="Y136" s="21"/>
      <c r="Z136" s="21"/>
      <c r="AA136" s="74">
        <f t="shared" ref="AA136:AA167" si="20">IFERROR(U136*W136*VLOOKUP(V136,Matrix_véhicule,3,FALSE)/IF(X136=1,1,U136),0)</f>
        <v>0</v>
      </c>
      <c r="AB136" s="222" t="str">
        <f t="shared" si="16"/>
        <v>0.000</v>
      </c>
      <c r="AC136" s="194"/>
      <c r="AD136" s="21"/>
      <c r="AE136" s="21"/>
      <c r="AF136" s="21"/>
      <c r="AG136" s="21"/>
      <c r="AH136" s="21"/>
      <c r="AI136" s="21"/>
      <c r="AJ136" s="21"/>
      <c r="AK136" s="21"/>
    </row>
    <row r="137" spans="9:37" ht="19" x14ac:dyDescent="0.25">
      <c r="I137" s="14"/>
      <c r="J137" s="41">
        <v>98</v>
      </c>
      <c r="K137" s="43"/>
      <c r="L137" s="43"/>
      <c r="M137" s="43"/>
      <c r="N137" s="21" t="e">
        <f t="shared" si="18"/>
        <v>#N/A</v>
      </c>
      <c r="O137" s="21"/>
      <c r="P137" s="21"/>
      <c r="Q137" s="74">
        <f t="shared" ref="Q137:Q168" si="21">IFERROR(K137*M137*VLOOKUP(L137,Matrix_véhicule,3,FALSE)/IF(N137=1,1,K137),0)</f>
        <v>0</v>
      </c>
      <c r="R137" s="222" t="str">
        <f t="shared" si="17"/>
        <v>0.000</v>
      </c>
      <c r="S137" s="194"/>
      <c r="T137" s="41">
        <v>99</v>
      </c>
      <c r="U137" s="43"/>
      <c r="V137" s="43"/>
      <c r="W137" s="43"/>
      <c r="X137" s="21" t="e">
        <f t="shared" si="19"/>
        <v>#N/A</v>
      </c>
      <c r="Y137" s="21"/>
      <c r="Z137" s="21"/>
      <c r="AA137" s="74">
        <f t="shared" si="20"/>
        <v>0</v>
      </c>
      <c r="AB137" s="222" t="str">
        <f t="shared" si="16"/>
        <v>0.000</v>
      </c>
      <c r="AC137" s="194"/>
      <c r="AD137" s="21"/>
      <c r="AE137" s="21"/>
      <c r="AF137" s="21"/>
      <c r="AG137" s="21"/>
      <c r="AH137" s="21"/>
      <c r="AI137" s="21"/>
      <c r="AJ137" s="21"/>
      <c r="AK137" s="21"/>
    </row>
    <row r="138" spans="9:37" ht="19" x14ac:dyDescent="0.25">
      <c r="I138" s="14"/>
      <c r="J138" s="41">
        <v>99</v>
      </c>
      <c r="K138" s="43"/>
      <c r="L138" s="43"/>
      <c r="M138" s="43"/>
      <c r="N138" s="21" t="e">
        <f t="shared" si="18"/>
        <v>#N/A</v>
      </c>
      <c r="O138" s="21"/>
      <c r="P138" s="21"/>
      <c r="Q138" s="74">
        <f t="shared" si="21"/>
        <v>0</v>
      </c>
      <c r="R138" s="222" t="str">
        <f t="shared" si="17"/>
        <v>0.000</v>
      </c>
      <c r="S138" s="194"/>
      <c r="T138" s="41">
        <v>100</v>
      </c>
      <c r="U138" s="43"/>
      <c r="V138" s="43"/>
      <c r="W138" s="43"/>
      <c r="X138" s="21" t="e">
        <f t="shared" si="19"/>
        <v>#N/A</v>
      </c>
      <c r="Y138" s="21"/>
      <c r="Z138" s="21"/>
      <c r="AA138" s="74">
        <f t="shared" si="20"/>
        <v>0</v>
      </c>
      <c r="AB138" s="222" t="str">
        <f t="shared" si="16"/>
        <v>0.000</v>
      </c>
      <c r="AC138" s="194"/>
      <c r="AD138" s="21"/>
      <c r="AE138" s="21"/>
      <c r="AF138" s="21"/>
      <c r="AG138" s="21"/>
      <c r="AH138" s="21"/>
      <c r="AI138" s="21"/>
      <c r="AJ138" s="21"/>
      <c r="AK138" s="21"/>
    </row>
    <row r="139" spans="9:37" ht="19" x14ac:dyDescent="0.25">
      <c r="I139" s="14"/>
      <c r="J139" s="41">
        <v>100</v>
      </c>
      <c r="K139" s="43"/>
      <c r="L139" s="43"/>
      <c r="M139" s="43"/>
      <c r="N139" s="21" t="e">
        <f t="shared" si="18"/>
        <v>#N/A</v>
      </c>
      <c r="O139" s="21"/>
      <c r="P139" s="21"/>
      <c r="Q139" s="74">
        <f t="shared" si="21"/>
        <v>0</v>
      </c>
      <c r="R139" s="222" t="str">
        <f t="shared" si="17"/>
        <v>0.000</v>
      </c>
      <c r="S139" s="194"/>
      <c r="T139" s="41">
        <v>101</v>
      </c>
      <c r="U139" s="43"/>
      <c r="V139" s="43"/>
      <c r="W139" s="43"/>
      <c r="X139" s="21" t="e">
        <f t="shared" si="19"/>
        <v>#N/A</v>
      </c>
      <c r="Y139" s="21"/>
      <c r="Z139" s="21"/>
      <c r="AA139" s="74">
        <f t="shared" si="20"/>
        <v>0</v>
      </c>
      <c r="AB139" s="222" t="str">
        <f t="shared" si="16"/>
        <v>0.000</v>
      </c>
      <c r="AC139" s="194"/>
      <c r="AD139" s="21"/>
      <c r="AE139" s="21"/>
      <c r="AF139" s="21"/>
      <c r="AG139" s="21"/>
      <c r="AH139" s="21"/>
      <c r="AI139" s="21"/>
      <c r="AJ139" s="21"/>
      <c r="AK139" s="21"/>
    </row>
    <row r="140" spans="9:37" ht="19" x14ac:dyDescent="0.25">
      <c r="I140" s="14"/>
      <c r="J140" s="41">
        <v>101</v>
      </c>
      <c r="K140" s="43"/>
      <c r="L140" s="43"/>
      <c r="M140" s="43"/>
      <c r="N140" s="21" t="e">
        <f t="shared" si="18"/>
        <v>#N/A</v>
      </c>
      <c r="O140" s="21"/>
      <c r="P140" s="21"/>
      <c r="Q140" s="74">
        <f t="shared" si="21"/>
        <v>0</v>
      </c>
      <c r="R140" s="222" t="str">
        <f t="shared" si="17"/>
        <v>0.000</v>
      </c>
      <c r="S140" s="194"/>
      <c r="T140" s="41">
        <v>102</v>
      </c>
      <c r="U140" s="43"/>
      <c r="V140" s="43"/>
      <c r="W140" s="43"/>
      <c r="X140" s="21" t="e">
        <f t="shared" si="19"/>
        <v>#N/A</v>
      </c>
      <c r="Y140" s="21"/>
      <c r="Z140" s="21"/>
      <c r="AA140" s="74">
        <f t="shared" si="20"/>
        <v>0</v>
      </c>
      <c r="AB140" s="222" t="str">
        <f t="shared" si="16"/>
        <v>0.000</v>
      </c>
      <c r="AC140" s="194"/>
      <c r="AD140" s="21"/>
      <c r="AE140" s="21"/>
      <c r="AF140" s="21"/>
      <c r="AG140" s="21"/>
      <c r="AH140" s="21"/>
      <c r="AI140" s="21"/>
      <c r="AJ140" s="21"/>
      <c r="AK140" s="21"/>
    </row>
    <row r="141" spans="9:37" ht="19" x14ac:dyDescent="0.25">
      <c r="I141" s="14"/>
      <c r="J141" s="41">
        <v>102</v>
      </c>
      <c r="K141" s="43"/>
      <c r="L141" s="43"/>
      <c r="M141" s="43"/>
      <c r="N141" s="21" t="e">
        <f t="shared" si="18"/>
        <v>#N/A</v>
      </c>
      <c r="O141" s="21"/>
      <c r="P141" s="21"/>
      <c r="Q141" s="74">
        <f t="shared" si="21"/>
        <v>0</v>
      </c>
      <c r="R141" s="222" t="str">
        <f t="shared" si="17"/>
        <v>0.000</v>
      </c>
      <c r="S141" s="194"/>
      <c r="T141" s="41">
        <v>103</v>
      </c>
      <c r="U141" s="43"/>
      <c r="V141" s="43"/>
      <c r="W141" s="43"/>
      <c r="X141" s="21" t="e">
        <f t="shared" si="19"/>
        <v>#N/A</v>
      </c>
      <c r="Y141" s="21"/>
      <c r="Z141" s="21"/>
      <c r="AA141" s="74">
        <f t="shared" si="20"/>
        <v>0</v>
      </c>
      <c r="AB141" s="222" t="str">
        <f t="shared" si="16"/>
        <v>0.000</v>
      </c>
      <c r="AC141" s="194"/>
      <c r="AD141" s="21"/>
      <c r="AE141" s="21"/>
      <c r="AF141" s="21"/>
      <c r="AG141" s="21"/>
      <c r="AH141" s="21"/>
      <c r="AI141" s="21"/>
      <c r="AJ141" s="21"/>
      <c r="AK141" s="21"/>
    </row>
    <row r="142" spans="9:37" ht="19" x14ac:dyDescent="0.25">
      <c r="I142" s="14"/>
      <c r="J142" s="41">
        <v>103</v>
      </c>
      <c r="K142" s="43"/>
      <c r="L142" s="43"/>
      <c r="M142" s="43"/>
      <c r="N142" s="21" t="e">
        <f t="shared" si="18"/>
        <v>#N/A</v>
      </c>
      <c r="O142" s="21"/>
      <c r="P142" s="21"/>
      <c r="Q142" s="74">
        <f t="shared" si="21"/>
        <v>0</v>
      </c>
      <c r="R142" s="222" t="str">
        <f t="shared" si="17"/>
        <v>0.000</v>
      </c>
      <c r="S142" s="194"/>
      <c r="T142" s="41">
        <v>104</v>
      </c>
      <c r="U142" s="43"/>
      <c r="V142" s="43"/>
      <c r="W142" s="43"/>
      <c r="X142" s="21" t="e">
        <f t="shared" si="19"/>
        <v>#N/A</v>
      </c>
      <c r="Y142" s="21"/>
      <c r="Z142" s="21"/>
      <c r="AA142" s="74">
        <f t="shared" si="20"/>
        <v>0</v>
      </c>
      <c r="AB142" s="222" t="str">
        <f t="shared" si="16"/>
        <v>0.000</v>
      </c>
      <c r="AC142" s="194"/>
      <c r="AD142" s="21"/>
      <c r="AE142" s="21"/>
      <c r="AF142" s="21"/>
      <c r="AG142" s="21"/>
      <c r="AH142" s="21"/>
      <c r="AI142" s="21"/>
      <c r="AJ142" s="21"/>
      <c r="AK142" s="21"/>
    </row>
    <row r="143" spans="9:37" ht="19" x14ac:dyDescent="0.25">
      <c r="I143" s="14"/>
      <c r="J143" s="41">
        <v>104</v>
      </c>
      <c r="K143" s="43"/>
      <c r="L143" s="43"/>
      <c r="M143" s="43"/>
      <c r="N143" s="21" t="e">
        <f t="shared" si="18"/>
        <v>#N/A</v>
      </c>
      <c r="O143" s="21"/>
      <c r="P143" s="21"/>
      <c r="Q143" s="74">
        <f t="shared" si="21"/>
        <v>0</v>
      </c>
      <c r="R143" s="222" t="str">
        <f t="shared" si="17"/>
        <v>0.000</v>
      </c>
      <c r="S143" s="194"/>
      <c r="T143" s="41">
        <v>105</v>
      </c>
      <c r="U143" s="43"/>
      <c r="V143" s="43"/>
      <c r="W143" s="43"/>
      <c r="X143" s="21" t="e">
        <f t="shared" si="19"/>
        <v>#N/A</v>
      </c>
      <c r="Y143" s="21"/>
      <c r="Z143" s="21"/>
      <c r="AA143" s="74">
        <f t="shared" si="20"/>
        <v>0</v>
      </c>
      <c r="AB143" s="222" t="str">
        <f t="shared" si="16"/>
        <v>0.000</v>
      </c>
      <c r="AC143" s="194"/>
      <c r="AD143" s="21"/>
      <c r="AE143" s="21"/>
      <c r="AF143" s="21"/>
      <c r="AG143" s="21"/>
      <c r="AH143" s="21"/>
      <c r="AI143" s="21"/>
      <c r="AJ143" s="21"/>
      <c r="AK143" s="21"/>
    </row>
    <row r="144" spans="9:37" ht="19" x14ac:dyDescent="0.25">
      <c r="I144" s="14"/>
      <c r="J144" s="41">
        <v>105</v>
      </c>
      <c r="K144" s="43"/>
      <c r="L144" s="43"/>
      <c r="M144" s="43"/>
      <c r="N144" s="21" t="e">
        <f t="shared" si="18"/>
        <v>#N/A</v>
      </c>
      <c r="O144" s="21"/>
      <c r="P144" s="21"/>
      <c r="Q144" s="74">
        <f t="shared" si="21"/>
        <v>0</v>
      </c>
      <c r="R144" s="222" t="str">
        <f t="shared" si="17"/>
        <v>0.000</v>
      </c>
      <c r="S144" s="194"/>
      <c r="T144" s="41">
        <v>106</v>
      </c>
      <c r="U144" s="43"/>
      <c r="V144" s="43"/>
      <c r="W144" s="43"/>
      <c r="X144" s="21" t="e">
        <f t="shared" si="19"/>
        <v>#N/A</v>
      </c>
      <c r="Y144" s="21"/>
      <c r="Z144" s="21"/>
      <c r="AA144" s="74">
        <f t="shared" si="20"/>
        <v>0</v>
      </c>
      <c r="AB144" s="222" t="str">
        <f t="shared" si="16"/>
        <v>0.000</v>
      </c>
      <c r="AC144" s="194"/>
      <c r="AD144" s="21"/>
      <c r="AE144" s="21"/>
      <c r="AF144" s="21"/>
      <c r="AG144" s="21"/>
      <c r="AH144" s="21"/>
      <c r="AI144" s="21"/>
      <c r="AJ144" s="21"/>
      <c r="AK144" s="21"/>
    </row>
    <row r="145" spans="9:37" ht="19" x14ac:dyDescent="0.25">
      <c r="I145" s="14"/>
      <c r="J145" s="41">
        <v>106</v>
      </c>
      <c r="K145" s="43"/>
      <c r="L145" s="43"/>
      <c r="M145" s="43"/>
      <c r="N145" s="21" t="e">
        <f t="shared" si="18"/>
        <v>#N/A</v>
      </c>
      <c r="O145" s="21"/>
      <c r="P145" s="21"/>
      <c r="Q145" s="74">
        <f t="shared" si="21"/>
        <v>0</v>
      </c>
      <c r="R145" s="222" t="str">
        <f t="shared" si="17"/>
        <v>0.000</v>
      </c>
      <c r="S145" s="194"/>
      <c r="T145" s="41">
        <v>107</v>
      </c>
      <c r="U145" s="43"/>
      <c r="V145" s="43"/>
      <c r="W145" s="43"/>
      <c r="X145" s="21" t="e">
        <f t="shared" si="19"/>
        <v>#N/A</v>
      </c>
      <c r="Y145" s="21"/>
      <c r="Z145" s="21"/>
      <c r="AA145" s="74">
        <f t="shared" si="20"/>
        <v>0</v>
      </c>
      <c r="AB145" s="222" t="str">
        <f t="shared" si="16"/>
        <v>0.000</v>
      </c>
      <c r="AC145" s="194"/>
      <c r="AD145" s="21"/>
      <c r="AE145" s="21"/>
      <c r="AF145" s="21"/>
      <c r="AG145" s="21"/>
      <c r="AH145" s="21"/>
      <c r="AI145" s="21"/>
      <c r="AJ145" s="21"/>
      <c r="AK145" s="21"/>
    </row>
    <row r="146" spans="9:37" ht="19" x14ac:dyDescent="0.25">
      <c r="I146" s="14"/>
      <c r="J146" s="41">
        <v>107</v>
      </c>
      <c r="K146" s="43"/>
      <c r="L146" s="43"/>
      <c r="M146" s="43"/>
      <c r="N146" s="21" t="e">
        <f t="shared" si="18"/>
        <v>#N/A</v>
      </c>
      <c r="O146" s="21"/>
      <c r="P146" s="21"/>
      <c r="Q146" s="74">
        <f t="shared" si="21"/>
        <v>0</v>
      </c>
      <c r="R146" s="222" t="str">
        <f t="shared" si="17"/>
        <v>0.000</v>
      </c>
      <c r="S146" s="194"/>
      <c r="T146" s="41">
        <v>108</v>
      </c>
      <c r="U146" s="43"/>
      <c r="V146" s="43"/>
      <c r="W146" s="43"/>
      <c r="X146" s="21" t="e">
        <f t="shared" si="19"/>
        <v>#N/A</v>
      </c>
      <c r="Y146" s="21"/>
      <c r="Z146" s="21"/>
      <c r="AA146" s="74">
        <f t="shared" si="20"/>
        <v>0</v>
      </c>
      <c r="AB146" s="222" t="str">
        <f t="shared" si="16"/>
        <v>0.000</v>
      </c>
      <c r="AC146" s="194"/>
      <c r="AD146" s="21"/>
      <c r="AE146" s="21"/>
      <c r="AF146" s="21"/>
      <c r="AG146" s="21"/>
      <c r="AH146" s="21"/>
      <c r="AI146" s="21"/>
      <c r="AJ146" s="21"/>
      <c r="AK146" s="21"/>
    </row>
    <row r="147" spans="9:37" ht="19" x14ac:dyDescent="0.25">
      <c r="I147" s="14"/>
      <c r="J147" s="41">
        <v>108</v>
      </c>
      <c r="K147" s="43"/>
      <c r="L147" s="43"/>
      <c r="M147" s="43"/>
      <c r="N147" s="21" t="e">
        <f t="shared" si="18"/>
        <v>#N/A</v>
      </c>
      <c r="O147" s="21"/>
      <c r="P147" s="21"/>
      <c r="Q147" s="74">
        <f t="shared" si="21"/>
        <v>0</v>
      </c>
      <c r="R147" s="222" t="str">
        <f t="shared" si="17"/>
        <v>0.000</v>
      </c>
      <c r="S147" s="194"/>
      <c r="T147" s="41">
        <v>109</v>
      </c>
      <c r="U147" s="43"/>
      <c r="V147" s="43"/>
      <c r="W147" s="43"/>
      <c r="X147" s="21" t="e">
        <f t="shared" si="19"/>
        <v>#N/A</v>
      </c>
      <c r="Y147" s="21"/>
      <c r="Z147" s="21"/>
      <c r="AA147" s="74">
        <f t="shared" si="20"/>
        <v>0</v>
      </c>
      <c r="AB147" s="222" t="str">
        <f t="shared" si="16"/>
        <v>0.000</v>
      </c>
      <c r="AC147" s="194"/>
      <c r="AD147" s="21"/>
      <c r="AE147" s="21"/>
      <c r="AF147" s="21"/>
      <c r="AG147" s="21"/>
      <c r="AH147" s="21"/>
      <c r="AI147" s="21"/>
      <c r="AJ147" s="21"/>
      <c r="AK147" s="21"/>
    </row>
    <row r="148" spans="9:37" ht="19" x14ac:dyDescent="0.25">
      <c r="I148" s="14"/>
      <c r="J148" s="41">
        <v>109</v>
      </c>
      <c r="K148" s="43"/>
      <c r="L148" s="43"/>
      <c r="M148" s="43"/>
      <c r="N148" s="21" t="e">
        <f t="shared" si="18"/>
        <v>#N/A</v>
      </c>
      <c r="O148" s="21"/>
      <c r="P148" s="21"/>
      <c r="Q148" s="74">
        <f t="shared" si="21"/>
        <v>0</v>
      </c>
      <c r="R148" s="222" t="str">
        <f t="shared" si="17"/>
        <v>0.000</v>
      </c>
      <c r="S148" s="194"/>
      <c r="T148" s="41">
        <v>110</v>
      </c>
      <c r="U148" s="43"/>
      <c r="V148" s="43"/>
      <c r="W148" s="43"/>
      <c r="X148" s="21" t="e">
        <f t="shared" si="19"/>
        <v>#N/A</v>
      </c>
      <c r="Y148" s="21"/>
      <c r="Z148" s="21"/>
      <c r="AA148" s="74">
        <f t="shared" si="20"/>
        <v>0</v>
      </c>
      <c r="AB148" s="222" t="str">
        <f t="shared" si="16"/>
        <v>0.000</v>
      </c>
      <c r="AC148" s="194"/>
      <c r="AD148" s="21"/>
      <c r="AE148" s="21"/>
      <c r="AF148" s="21"/>
      <c r="AG148" s="21"/>
      <c r="AH148" s="21"/>
      <c r="AI148" s="21"/>
      <c r="AJ148" s="21"/>
      <c r="AK148" s="21"/>
    </row>
    <row r="149" spans="9:37" ht="19" x14ac:dyDescent="0.25">
      <c r="I149" s="14"/>
      <c r="J149" s="41">
        <v>110</v>
      </c>
      <c r="K149" s="43"/>
      <c r="L149" s="43"/>
      <c r="M149" s="43"/>
      <c r="N149" s="21" t="e">
        <f t="shared" si="18"/>
        <v>#N/A</v>
      </c>
      <c r="O149" s="21"/>
      <c r="P149" s="21"/>
      <c r="Q149" s="74">
        <f t="shared" si="21"/>
        <v>0</v>
      </c>
      <c r="R149" s="222" t="str">
        <f t="shared" si="17"/>
        <v>0.000</v>
      </c>
      <c r="S149" s="194"/>
      <c r="T149" s="41">
        <v>111</v>
      </c>
      <c r="U149" s="43"/>
      <c r="V149" s="43"/>
      <c r="W149" s="43"/>
      <c r="X149" s="21" t="e">
        <f t="shared" si="19"/>
        <v>#N/A</v>
      </c>
      <c r="Y149" s="21"/>
      <c r="Z149" s="21"/>
      <c r="AA149" s="74">
        <f t="shared" si="20"/>
        <v>0</v>
      </c>
      <c r="AB149" s="222" t="str">
        <f t="shared" si="16"/>
        <v>0.000</v>
      </c>
      <c r="AC149" s="194"/>
      <c r="AD149" s="21"/>
      <c r="AE149" s="21"/>
      <c r="AF149" s="21"/>
      <c r="AG149" s="21"/>
      <c r="AH149" s="21"/>
      <c r="AI149" s="21"/>
      <c r="AJ149" s="21"/>
      <c r="AK149" s="21"/>
    </row>
    <row r="150" spans="9:37" ht="19" x14ac:dyDescent="0.25">
      <c r="I150" s="14"/>
      <c r="J150" s="41">
        <v>111</v>
      </c>
      <c r="K150" s="43"/>
      <c r="L150" s="43"/>
      <c r="M150" s="43"/>
      <c r="N150" s="21" t="e">
        <f t="shared" si="18"/>
        <v>#N/A</v>
      </c>
      <c r="O150" s="21"/>
      <c r="P150" s="21"/>
      <c r="Q150" s="74">
        <f t="shared" si="21"/>
        <v>0</v>
      </c>
      <c r="R150" s="222" t="str">
        <f t="shared" si="17"/>
        <v>0.000</v>
      </c>
      <c r="S150" s="194"/>
      <c r="T150" s="41">
        <v>112</v>
      </c>
      <c r="U150" s="43"/>
      <c r="V150" s="43"/>
      <c r="W150" s="43"/>
      <c r="X150" s="21" t="e">
        <f t="shared" si="19"/>
        <v>#N/A</v>
      </c>
      <c r="Y150" s="21"/>
      <c r="Z150" s="21"/>
      <c r="AA150" s="74">
        <f t="shared" si="20"/>
        <v>0</v>
      </c>
      <c r="AB150" s="222" t="str">
        <f t="shared" si="16"/>
        <v>0.000</v>
      </c>
      <c r="AC150" s="194"/>
      <c r="AD150" s="21"/>
      <c r="AE150" s="21"/>
      <c r="AF150" s="21"/>
      <c r="AG150" s="21"/>
      <c r="AH150" s="21"/>
      <c r="AI150" s="21"/>
      <c r="AJ150" s="21"/>
      <c r="AK150" s="21"/>
    </row>
    <row r="151" spans="9:37" ht="19" x14ac:dyDescent="0.25">
      <c r="I151" s="14"/>
      <c r="J151" s="41">
        <v>112</v>
      </c>
      <c r="K151" s="43"/>
      <c r="L151" s="43"/>
      <c r="M151" s="43"/>
      <c r="N151" s="21" t="e">
        <f t="shared" si="18"/>
        <v>#N/A</v>
      </c>
      <c r="O151" s="21"/>
      <c r="P151" s="21"/>
      <c r="Q151" s="74">
        <f t="shared" si="21"/>
        <v>0</v>
      </c>
      <c r="R151" s="222" t="str">
        <f t="shared" si="17"/>
        <v>0.000</v>
      </c>
      <c r="S151" s="194"/>
      <c r="T151" s="41">
        <v>113</v>
      </c>
      <c r="U151" s="43"/>
      <c r="V151" s="43"/>
      <c r="W151" s="43"/>
      <c r="X151" s="21" t="e">
        <f t="shared" si="19"/>
        <v>#N/A</v>
      </c>
      <c r="Y151" s="21"/>
      <c r="Z151" s="21"/>
      <c r="AA151" s="74">
        <f t="shared" si="20"/>
        <v>0</v>
      </c>
      <c r="AB151" s="222" t="str">
        <f t="shared" si="16"/>
        <v>0.000</v>
      </c>
      <c r="AC151" s="194"/>
      <c r="AD151" s="21"/>
      <c r="AE151" s="21"/>
      <c r="AF151" s="21"/>
      <c r="AG151" s="21"/>
      <c r="AH151" s="21"/>
      <c r="AI151" s="21"/>
      <c r="AJ151" s="21"/>
      <c r="AK151" s="21"/>
    </row>
    <row r="152" spans="9:37" ht="19" x14ac:dyDescent="0.25">
      <c r="I152" s="14"/>
      <c r="J152" s="41">
        <v>113</v>
      </c>
      <c r="K152" s="43"/>
      <c r="L152" s="43"/>
      <c r="M152" s="43"/>
      <c r="N152" s="21" t="e">
        <f t="shared" si="18"/>
        <v>#N/A</v>
      </c>
      <c r="O152" s="21"/>
      <c r="P152" s="21"/>
      <c r="Q152" s="74">
        <f t="shared" si="21"/>
        <v>0</v>
      </c>
      <c r="R152" s="222" t="str">
        <f t="shared" si="17"/>
        <v>0.000</v>
      </c>
      <c r="S152" s="194"/>
      <c r="T152" s="41">
        <v>114</v>
      </c>
      <c r="U152" s="43"/>
      <c r="V152" s="43"/>
      <c r="W152" s="43"/>
      <c r="X152" s="21" t="e">
        <f t="shared" si="19"/>
        <v>#N/A</v>
      </c>
      <c r="Y152" s="21"/>
      <c r="Z152" s="21"/>
      <c r="AA152" s="74">
        <f t="shared" si="20"/>
        <v>0</v>
      </c>
      <c r="AB152" s="222" t="str">
        <f t="shared" si="16"/>
        <v>0.000</v>
      </c>
      <c r="AC152" s="194"/>
      <c r="AD152" s="21"/>
      <c r="AE152" s="21"/>
      <c r="AF152" s="21"/>
      <c r="AG152" s="21"/>
      <c r="AH152" s="21"/>
      <c r="AI152" s="21"/>
      <c r="AJ152" s="21"/>
      <c r="AK152" s="21"/>
    </row>
    <row r="153" spans="9:37" ht="19" x14ac:dyDescent="0.25">
      <c r="I153" s="14"/>
      <c r="J153" s="41">
        <v>114</v>
      </c>
      <c r="K153" s="43"/>
      <c r="L153" s="43"/>
      <c r="M153" s="43"/>
      <c r="N153" s="21" t="e">
        <f t="shared" si="18"/>
        <v>#N/A</v>
      </c>
      <c r="O153" s="21"/>
      <c r="P153" s="21"/>
      <c r="Q153" s="74">
        <f t="shared" si="21"/>
        <v>0</v>
      </c>
      <c r="R153" s="222" t="str">
        <f t="shared" si="17"/>
        <v>0.000</v>
      </c>
      <c r="S153" s="194"/>
      <c r="T153" s="41">
        <v>115</v>
      </c>
      <c r="U153" s="43"/>
      <c r="V153" s="43"/>
      <c r="W153" s="43"/>
      <c r="X153" s="21" t="e">
        <f t="shared" si="19"/>
        <v>#N/A</v>
      </c>
      <c r="Y153" s="21"/>
      <c r="Z153" s="21"/>
      <c r="AA153" s="74">
        <f t="shared" si="20"/>
        <v>0</v>
      </c>
      <c r="AB153" s="222" t="str">
        <f t="shared" si="16"/>
        <v>0.000</v>
      </c>
      <c r="AC153" s="194"/>
      <c r="AD153" s="21"/>
      <c r="AE153" s="21"/>
      <c r="AF153" s="21"/>
      <c r="AG153" s="21"/>
      <c r="AH153" s="21"/>
      <c r="AI153" s="21"/>
      <c r="AJ153" s="21"/>
      <c r="AK153" s="21"/>
    </row>
    <row r="154" spans="9:37" ht="19" x14ac:dyDescent="0.25">
      <c r="I154" s="14"/>
      <c r="J154" s="41">
        <v>115</v>
      </c>
      <c r="K154" s="43"/>
      <c r="L154" s="43"/>
      <c r="M154" s="43"/>
      <c r="N154" s="21" t="e">
        <f t="shared" si="18"/>
        <v>#N/A</v>
      </c>
      <c r="O154" s="21"/>
      <c r="P154" s="21"/>
      <c r="Q154" s="74">
        <f t="shared" si="21"/>
        <v>0</v>
      </c>
      <c r="R154" s="222" t="str">
        <f t="shared" si="17"/>
        <v>0.000</v>
      </c>
      <c r="S154" s="194"/>
      <c r="T154" s="41">
        <v>116</v>
      </c>
      <c r="U154" s="43"/>
      <c r="V154" s="43"/>
      <c r="W154" s="43"/>
      <c r="X154" s="21" t="e">
        <f t="shared" si="19"/>
        <v>#N/A</v>
      </c>
      <c r="Y154" s="21"/>
      <c r="Z154" s="21"/>
      <c r="AA154" s="74">
        <f t="shared" si="20"/>
        <v>0</v>
      </c>
      <c r="AB154" s="222" t="str">
        <f t="shared" si="16"/>
        <v>0.000</v>
      </c>
      <c r="AC154" s="194"/>
      <c r="AD154" s="21"/>
      <c r="AE154" s="21"/>
      <c r="AF154" s="21"/>
      <c r="AG154" s="21"/>
      <c r="AH154" s="21"/>
      <c r="AI154" s="21"/>
      <c r="AJ154" s="21"/>
      <c r="AK154" s="21"/>
    </row>
    <row r="155" spans="9:37" ht="19" x14ac:dyDescent="0.25">
      <c r="I155" s="14"/>
      <c r="J155" s="41">
        <v>116</v>
      </c>
      <c r="K155" s="43"/>
      <c r="L155" s="43"/>
      <c r="M155" s="43"/>
      <c r="N155" s="21" t="e">
        <f t="shared" si="18"/>
        <v>#N/A</v>
      </c>
      <c r="O155" s="21"/>
      <c r="P155" s="21"/>
      <c r="Q155" s="74">
        <f t="shared" si="21"/>
        <v>0</v>
      </c>
      <c r="R155" s="222" t="str">
        <f t="shared" si="17"/>
        <v>0.000</v>
      </c>
      <c r="S155" s="194"/>
      <c r="T155" s="41">
        <v>117</v>
      </c>
      <c r="U155" s="43"/>
      <c r="V155" s="43"/>
      <c r="W155" s="43"/>
      <c r="X155" s="21" t="e">
        <f t="shared" si="19"/>
        <v>#N/A</v>
      </c>
      <c r="Y155" s="21"/>
      <c r="Z155" s="21"/>
      <c r="AA155" s="74">
        <f t="shared" si="20"/>
        <v>0</v>
      </c>
      <c r="AB155" s="222" t="str">
        <f t="shared" si="16"/>
        <v>0.000</v>
      </c>
      <c r="AC155" s="194"/>
      <c r="AD155" s="21"/>
      <c r="AE155" s="21"/>
      <c r="AF155" s="21"/>
      <c r="AG155" s="21"/>
      <c r="AH155" s="21"/>
      <c r="AI155" s="21"/>
      <c r="AJ155" s="21"/>
      <c r="AK155" s="21"/>
    </row>
    <row r="156" spans="9:37" ht="19" x14ac:dyDescent="0.25">
      <c r="I156" s="14"/>
      <c r="J156" s="41">
        <v>117</v>
      </c>
      <c r="K156" s="43"/>
      <c r="L156" s="43"/>
      <c r="M156" s="43"/>
      <c r="N156" s="21" t="e">
        <f t="shared" si="18"/>
        <v>#N/A</v>
      </c>
      <c r="O156" s="21"/>
      <c r="P156" s="21"/>
      <c r="Q156" s="74">
        <f t="shared" si="21"/>
        <v>0</v>
      </c>
      <c r="R156" s="222" t="str">
        <f t="shared" si="17"/>
        <v>0.000</v>
      </c>
      <c r="S156" s="194"/>
      <c r="T156" s="41">
        <v>118</v>
      </c>
      <c r="U156" s="43"/>
      <c r="V156" s="43"/>
      <c r="W156" s="43"/>
      <c r="X156" s="21" t="e">
        <f t="shared" si="19"/>
        <v>#N/A</v>
      </c>
      <c r="Y156" s="21"/>
      <c r="Z156" s="21"/>
      <c r="AA156" s="74">
        <f t="shared" si="20"/>
        <v>0</v>
      </c>
      <c r="AB156" s="222" t="str">
        <f t="shared" si="16"/>
        <v>0.000</v>
      </c>
      <c r="AC156" s="194"/>
      <c r="AD156" s="21"/>
      <c r="AE156" s="21"/>
      <c r="AF156" s="21"/>
      <c r="AG156" s="21"/>
      <c r="AH156" s="21"/>
      <c r="AI156" s="21"/>
      <c r="AJ156" s="21"/>
      <c r="AK156" s="21"/>
    </row>
    <row r="157" spans="9:37" ht="19" x14ac:dyDescent="0.25">
      <c r="I157" s="14"/>
      <c r="J157" s="41">
        <v>118</v>
      </c>
      <c r="K157" s="43"/>
      <c r="L157" s="43"/>
      <c r="M157" s="43"/>
      <c r="N157" s="21" t="e">
        <f t="shared" si="18"/>
        <v>#N/A</v>
      </c>
      <c r="O157" s="21"/>
      <c r="P157" s="21"/>
      <c r="Q157" s="74">
        <f t="shared" si="21"/>
        <v>0</v>
      </c>
      <c r="R157" s="222" t="str">
        <f t="shared" si="17"/>
        <v>0.000</v>
      </c>
      <c r="S157" s="194"/>
      <c r="T157" s="41">
        <v>119</v>
      </c>
      <c r="U157" s="43"/>
      <c r="V157" s="43"/>
      <c r="W157" s="43"/>
      <c r="X157" s="21" t="e">
        <f t="shared" si="19"/>
        <v>#N/A</v>
      </c>
      <c r="Y157" s="21"/>
      <c r="Z157" s="21"/>
      <c r="AA157" s="74">
        <f t="shared" si="20"/>
        <v>0</v>
      </c>
      <c r="AB157" s="222" t="str">
        <f t="shared" si="16"/>
        <v>0.000</v>
      </c>
      <c r="AC157" s="194"/>
      <c r="AD157" s="21"/>
      <c r="AE157" s="21"/>
      <c r="AF157" s="21"/>
      <c r="AG157" s="21"/>
      <c r="AH157" s="21"/>
      <c r="AI157" s="21"/>
      <c r="AJ157" s="21"/>
      <c r="AK157" s="21"/>
    </row>
    <row r="158" spans="9:37" ht="19" x14ac:dyDescent="0.25">
      <c r="I158" s="14"/>
      <c r="J158" s="41">
        <v>119</v>
      </c>
      <c r="K158" s="43"/>
      <c r="L158" s="43"/>
      <c r="M158" s="43"/>
      <c r="N158" s="21" t="e">
        <f t="shared" si="18"/>
        <v>#N/A</v>
      </c>
      <c r="O158" s="21"/>
      <c r="P158" s="21"/>
      <c r="Q158" s="74">
        <f t="shared" si="21"/>
        <v>0</v>
      </c>
      <c r="R158" s="222" t="str">
        <f t="shared" si="17"/>
        <v>0.000</v>
      </c>
      <c r="S158" s="194"/>
      <c r="T158" s="41">
        <v>120</v>
      </c>
      <c r="U158" s="43"/>
      <c r="V158" s="43"/>
      <c r="W158" s="43"/>
      <c r="X158" s="21" t="e">
        <f t="shared" si="19"/>
        <v>#N/A</v>
      </c>
      <c r="Y158" s="21"/>
      <c r="Z158" s="21"/>
      <c r="AA158" s="74">
        <f t="shared" si="20"/>
        <v>0</v>
      </c>
      <c r="AB158" s="222" t="str">
        <f t="shared" si="16"/>
        <v>0.000</v>
      </c>
      <c r="AC158" s="194"/>
      <c r="AD158" s="21"/>
      <c r="AE158" s="21"/>
      <c r="AF158" s="21"/>
      <c r="AG158" s="21"/>
      <c r="AH158" s="21"/>
      <c r="AI158" s="21"/>
      <c r="AJ158" s="21"/>
      <c r="AK158" s="21"/>
    </row>
    <row r="159" spans="9:37" ht="19" x14ac:dyDescent="0.25">
      <c r="I159" s="14"/>
      <c r="J159" s="41">
        <v>120</v>
      </c>
      <c r="K159" s="43"/>
      <c r="L159" s="43"/>
      <c r="M159" s="43"/>
      <c r="N159" s="21" t="e">
        <f t="shared" si="18"/>
        <v>#N/A</v>
      </c>
      <c r="O159" s="21"/>
      <c r="P159" s="21"/>
      <c r="Q159" s="74">
        <f t="shared" si="21"/>
        <v>0</v>
      </c>
      <c r="R159" s="222" t="str">
        <f t="shared" si="17"/>
        <v>0.000</v>
      </c>
      <c r="S159" s="194"/>
      <c r="T159" s="41">
        <v>121</v>
      </c>
      <c r="U159" s="43"/>
      <c r="V159" s="43"/>
      <c r="W159" s="43"/>
      <c r="X159" s="21" t="e">
        <f t="shared" si="19"/>
        <v>#N/A</v>
      </c>
      <c r="Y159" s="21"/>
      <c r="Z159" s="21"/>
      <c r="AA159" s="74">
        <f t="shared" si="20"/>
        <v>0</v>
      </c>
      <c r="AB159" s="222" t="str">
        <f t="shared" si="16"/>
        <v>0.000</v>
      </c>
      <c r="AC159" s="194"/>
      <c r="AD159" s="21"/>
      <c r="AE159" s="21"/>
      <c r="AF159" s="21"/>
      <c r="AG159" s="21"/>
      <c r="AH159" s="21"/>
      <c r="AI159" s="21"/>
      <c r="AJ159" s="21"/>
      <c r="AK159" s="21"/>
    </row>
    <row r="160" spans="9:37" ht="19" x14ac:dyDescent="0.25">
      <c r="I160" s="14"/>
      <c r="J160" s="41">
        <v>121</v>
      </c>
      <c r="K160" s="43"/>
      <c r="L160" s="43"/>
      <c r="M160" s="43"/>
      <c r="N160" s="21" t="e">
        <f t="shared" si="18"/>
        <v>#N/A</v>
      </c>
      <c r="O160" s="21"/>
      <c r="P160" s="21"/>
      <c r="Q160" s="74">
        <f t="shared" si="21"/>
        <v>0</v>
      </c>
      <c r="R160" s="222" t="str">
        <f t="shared" si="17"/>
        <v>0.000</v>
      </c>
      <c r="S160" s="194"/>
      <c r="T160" s="41">
        <v>122</v>
      </c>
      <c r="U160" s="43"/>
      <c r="V160" s="43"/>
      <c r="W160" s="43"/>
      <c r="X160" s="21" t="e">
        <f t="shared" si="19"/>
        <v>#N/A</v>
      </c>
      <c r="Y160" s="21"/>
      <c r="Z160" s="21"/>
      <c r="AA160" s="74">
        <f t="shared" si="20"/>
        <v>0</v>
      </c>
      <c r="AB160" s="222" t="str">
        <f t="shared" si="16"/>
        <v>0.000</v>
      </c>
      <c r="AC160" s="194"/>
      <c r="AD160" s="21"/>
      <c r="AE160" s="21"/>
      <c r="AF160" s="21"/>
      <c r="AG160" s="21"/>
      <c r="AH160" s="21"/>
      <c r="AI160" s="21"/>
      <c r="AJ160" s="21"/>
      <c r="AK160" s="21"/>
    </row>
    <row r="161" spans="9:37" ht="19" x14ac:dyDescent="0.25">
      <c r="I161" s="14"/>
      <c r="J161" s="41">
        <v>122</v>
      </c>
      <c r="K161" s="43"/>
      <c r="L161" s="43"/>
      <c r="M161" s="43"/>
      <c r="N161" s="21" t="e">
        <f t="shared" si="18"/>
        <v>#N/A</v>
      </c>
      <c r="O161" s="21"/>
      <c r="P161" s="21"/>
      <c r="Q161" s="74">
        <f t="shared" si="21"/>
        <v>0</v>
      </c>
      <c r="R161" s="222" t="str">
        <f t="shared" si="17"/>
        <v>0.000</v>
      </c>
      <c r="S161" s="194"/>
      <c r="T161" s="41">
        <v>123</v>
      </c>
      <c r="U161" s="43"/>
      <c r="V161" s="43"/>
      <c r="W161" s="43"/>
      <c r="X161" s="21" t="e">
        <f t="shared" si="19"/>
        <v>#N/A</v>
      </c>
      <c r="Y161" s="21"/>
      <c r="Z161" s="21"/>
      <c r="AA161" s="74">
        <f t="shared" si="20"/>
        <v>0</v>
      </c>
      <c r="AB161" s="222" t="str">
        <f t="shared" si="16"/>
        <v>0.000</v>
      </c>
      <c r="AC161" s="194"/>
      <c r="AD161" s="21"/>
      <c r="AE161" s="21"/>
      <c r="AF161" s="21"/>
      <c r="AG161" s="21"/>
      <c r="AH161" s="21"/>
      <c r="AI161" s="21"/>
      <c r="AJ161" s="21"/>
      <c r="AK161" s="21"/>
    </row>
    <row r="162" spans="9:37" ht="19" x14ac:dyDescent="0.25">
      <c r="I162" s="14"/>
      <c r="J162" s="41">
        <v>123</v>
      </c>
      <c r="K162" s="43"/>
      <c r="L162" s="43"/>
      <c r="M162" s="43"/>
      <c r="N162" s="21" t="e">
        <f t="shared" si="18"/>
        <v>#N/A</v>
      </c>
      <c r="O162" s="21"/>
      <c r="P162" s="21"/>
      <c r="Q162" s="74">
        <f t="shared" si="21"/>
        <v>0</v>
      </c>
      <c r="R162" s="222" t="str">
        <f t="shared" si="17"/>
        <v>0.000</v>
      </c>
      <c r="S162" s="194"/>
      <c r="T162" s="41">
        <v>124</v>
      </c>
      <c r="U162" s="43"/>
      <c r="V162" s="43"/>
      <c r="W162" s="43"/>
      <c r="X162" s="21" t="e">
        <f t="shared" si="19"/>
        <v>#N/A</v>
      </c>
      <c r="Y162" s="21"/>
      <c r="Z162" s="21"/>
      <c r="AA162" s="74">
        <f t="shared" si="20"/>
        <v>0</v>
      </c>
      <c r="AB162" s="222" t="str">
        <f t="shared" si="16"/>
        <v>0.000</v>
      </c>
      <c r="AC162" s="194"/>
      <c r="AD162" s="21"/>
      <c r="AE162" s="21"/>
      <c r="AF162" s="21"/>
      <c r="AG162" s="21"/>
      <c r="AH162" s="21"/>
      <c r="AI162" s="21"/>
      <c r="AJ162" s="21"/>
      <c r="AK162" s="21"/>
    </row>
    <row r="163" spans="9:37" ht="19" x14ac:dyDescent="0.25">
      <c r="I163" s="14"/>
      <c r="J163" s="41">
        <v>124</v>
      </c>
      <c r="K163" s="43"/>
      <c r="L163" s="43"/>
      <c r="M163" s="43"/>
      <c r="N163" s="21" t="e">
        <f t="shared" si="18"/>
        <v>#N/A</v>
      </c>
      <c r="O163" s="21"/>
      <c r="P163" s="21"/>
      <c r="Q163" s="74">
        <f t="shared" si="21"/>
        <v>0</v>
      </c>
      <c r="R163" s="222" t="str">
        <f t="shared" si="17"/>
        <v>0.000</v>
      </c>
      <c r="S163" s="194"/>
      <c r="T163" s="41">
        <v>125</v>
      </c>
      <c r="U163" s="43"/>
      <c r="V163" s="43"/>
      <c r="W163" s="43"/>
      <c r="X163" s="21" t="e">
        <f t="shared" si="19"/>
        <v>#N/A</v>
      </c>
      <c r="Y163" s="21"/>
      <c r="Z163" s="21"/>
      <c r="AA163" s="74">
        <f t="shared" si="20"/>
        <v>0</v>
      </c>
      <c r="AB163" s="222" t="str">
        <f t="shared" si="16"/>
        <v>0.000</v>
      </c>
      <c r="AC163" s="194"/>
      <c r="AD163" s="21"/>
      <c r="AE163" s="21"/>
      <c r="AF163" s="21"/>
      <c r="AG163" s="21"/>
      <c r="AH163" s="21"/>
      <c r="AI163" s="21"/>
      <c r="AJ163" s="21"/>
      <c r="AK163" s="21"/>
    </row>
    <row r="164" spans="9:37" ht="19" x14ac:dyDescent="0.25">
      <c r="I164" s="14"/>
      <c r="J164" s="41">
        <v>125</v>
      </c>
      <c r="K164" s="43"/>
      <c r="L164" s="43"/>
      <c r="M164" s="43"/>
      <c r="N164" s="21" t="e">
        <f t="shared" si="18"/>
        <v>#N/A</v>
      </c>
      <c r="O164" s="21"/>
      <c r="P164" s="21"/>
      <c r="Q164" s="74">
        <f t="shared" si="21"/>
        <v>0</v>
      </c>
      <c r="R164" s="222" t="str">
        <f t="shared" si="17"/>
        <v>0.000</v>
      </c>
      <c r="S164" s="194"/>
      <c r="T164" s="41">
        <v>126</v>
      </c>
      <c r="U164" s="43"/>
      <c r="V164" s="43"/>
      <c r="W164" s="43"/>
      <c r="X164" s="21" t="e">
        <f t="shared" si="19"/>
        <v>#N/A</v>
      </c>
      <c r="Y164" s="21"/>
      <c r="Z164" s="21"/>
      <c r="AA164" s="74">
        <f t="shared" si="20"/>
        <v>0</v>
      </c>
      <c r="AB164" s="222" t="str">
        <f t="shared" si="16"/>
        <v>0.000</v>
      </c>
      <c r="AC164" s="194"/>
      <c r="AD164" s="21"/>
      <c r="AE164" s="21"/>
      <c r="AF164" s="21"/>
      <c r="AG164" s="21"/>
      <c r="AH164" s="21"/>
      <c r="AI164" s="21"/>
      <c r="AJ164" s="21"/>
      <c r="AK164" s="21"/>
    </row>
    <row r="165" spans="9:37" ht="19" x14ac:dyDescent="0.25">
      <c r="I165" s="14"/>
      <c r="J165" s="41">
        <v>126</v>
      </c>
      <c r="K165" s="43"/>
      <c r="L165" s="43"/>
      <c r="M165" s="43"/>
      <c r="N165" s="21" t="e">
        <f t="shared" si="18"/>
        <v>#N/A</v>
      </c>
      <c r="O165" s="21"/>
      <c r="P165" s="21"/>
      <c r="Q165" s="74">
        <f t="shared" si="21"/>
        <v>0</v>
      </c>
      <c r="R165" s="222" t="str">
        <f t="shared" si="17"/>
        <v>0.000</v>
      </c>
      <c r="S165" s="194"/>
      <c r="T165" s="41">
        <v>127</v>
      </c>
      <c r="U165" s="43"/>
      <c r="V165" s="43"/>
      <c r="W165" s="43"/>
      <c r="X165" s="21" t="e">
        <f t="shared" si="19"/>
        <v>#N/A</v>
      </c>
      <c r="Y165" s="21"/>
      <c r="Z165" s="21"/>
      <c r="AA165" s="74">
        <f t="shared" si="20"/>
        <v>0</v>
      </c>
      <c r="AB165" s="222" t="str">
        <f t="shared" si="16"/>
        <v>0.000</v>
      </c>
      <c r="AC165" s="194"/>
      <c r="AD165" s="21"/>
      <c r="AE165" s="21"/>
      <c r="AF165" s="21"/>
      <c r="AG165" s="21"/>
      <c r="AH165" s="21"/>
      <c r="AI165" s="21"/>
      <c r="AJ165" s="21"/>
      <c r="AK165" s="21"/>
    </row>
    <row r="166" spans="9:37" ht="19" x14ac:dyDescent="0.25">
      <c r="I166" s="14"/>
      <c r="J166" s="41">
        <v>127</v>
      </c>
      <c r="K166" s="43"/>
      <c r="L166" s="43"/>
      <c r="M166" s="43"/>
      <c r="N166" s="21" t="e">
        <f t="shared" si="18"/>
        <v>#N/A</v>
      </c>
      <c r="O166" s="21"/>
      <c r="P166" s="21"/>
      <c r="Q166" s="74">
        <f t="shared" si="21"/>
        <v>0</v>
      </c>
      <c r="R166" s="222" t="str">
        <f t="shared" si="17"/>
        <v>0.000</v>
      </c>
      <c r="S166" s="194"/>
      <c r="T166" s="41">
        <v>128</v>
      </c>
      <c r="U166" s="43"/>
      <c r="V166" s="43"/>
      <c r="W166" s="43"/>
      <c r="X166" s="21" t="e">
        <f t="shared" si="19"/>
        <v>#N/A</v>
      </c>
      <c r="Y166" s="21"/>
      <c r="Z166" s="21"/>
      <c r="AA166" s="74">
        <f t="shared" si="20"/>
        <v>0</v>
      </c>
      <c r="AB166" s="222" t="str">
        <f t="shared" si="16"/>
        <v>0.000</v>
      </c>
      <c r="AC166" s="194"/>
      <c r="AD166" s="21"/>
      <c r="AE166" s="21"/>
      <c r="AF166" s="21"/>
      <c r="AG166" s="21"/>
      <c r="AH166" s="21"/>
      <c r="AI166" s="21"/>
      <c r="AJ166" s="21"/>
      <c r="AK166" s="21"/>
    </row>
    <row r="167" spans="9:37" ht="19" x14ac:dyDescent="0.25">
      <c r="I167" s="14"/>
      <c r="J167" s="41">
        <v>128</v>
      </c>
      <c r="K167" s="43"/>
      <c r="L167" s="43"/>
      <c r="M167" s="43"/>
      <c r="N167" s="21" t="e">
        <f t="shared" si="18"/>
        <v>#N/A</v>
      </c>
      <c r="O167" s="21"/>
      <c r="P167" s="21"/>
      <c r="Q167" s="74">
        <f t="shared" si="21"/>
        <v>0</v>
      </c>
      <c r="R167" s="222" t="str">
        <f t="shared" si="17"/>
        <v>0.000</v>
      </c>
      <c r="S167" s="194"/>
      <c r="T167" s="41">
        <v>129</v>
      </c>
      <c r="U167" s="43"/>
      <c r="V167" s="43"/>
      <c r="W167" s="43"/>
      <c r="X167" s="21" t="e">
        <f t="shared" si="19"/>
        <v>#N/A</v>
      </c>
      <c r="Y167" s="21"/>
      <c r="Z167" s="21"/>
      <c r="AA167" s="74">
        <f t="shared" si="20"/>
        <v>0</v>
      </c>
      <c r="AB167" s="222" t="str">
        <f t="shared" si="16"/>
        <v>0.000</v>
      </c>
      <c r="AC167" s="194"/>
      <c r="AD167" s="21"/>
      <c r="AE167" s="21"/>
      <c r="AF167" s="21"/>
      <c r="AG167" s="21"/>
      <c r="AH167" s="21"/>
      <c r="AI167" s="21"/>
      <c r="AJ167" s="21"/>
      <c r="AK167" s="21"/>
    </row>
    <row r="168" spans="9:37" ht="19" x14ac:dyDescent="0.25">
      <c r="I168" s="14"/>
      <c r="J168" s="41">
        <v>129</v>
      </c>
      <c r="K168" s="43"/>
      <c r="L168" s="43"/>
      <c r="M168" s="43"/>
      <c r="N168" s="21" t="e">
        <f t="shared" si="18"/>
        <v>#N/A</v>
      </c>
      <c r="O168" s="21"/>
      <c r="P168" s="21"/>
      <c r="Q168" s="74">
        <f t="shared" si="21"/>
        <v>0</v>
      </c>
      <c r="R168" s="222" t="str">
        <f t="shared" si="17"/>
        <v>0.000</v>
      </c>
      <c r="S168" s="194"/>
      <c r="T168" s="41">
        <v>130</v>
      </c>
      <c r="U168" s="43"/>
      <c r="V168" s="43"/>
      <c r="W168" s="43"/>
      <c r="X168" s="21" t="e">
        <f t="shared" si="19"/>
        <v>#N/A</v>
      </c>
      <c r="Y168" s="21"/>
      <c r="Z168" s="21"/>
      <c r="AA168" s="74">
        <f t="shared" ref="AA168:AA190" si="22">IFERROR(U168*W168*VLOOKUP(V168,Matrix_véhicule,3,FALSE)/IF(X168=1,1,U168),0)</f>
        <v>0</v>
      </c>
      <c r="AB168" s="222" t="str">
        <f t="shared" si="16"/>
        <v>0.000</v>
      </c>
      <c r="AC168" s="194"/>
      <c r="AD168" s="21"/>
      <c r="AE168" s="21"/>
      <c r="AF168" s="21"/>
      <c r="AG168" s="21"/>
      <c r="AH168" s="21"/>
      <c r="AI168" s="21"/>
      <c r="AJ168" s="21"/>
      <c r="AK168" s="21"/>
    </row>
    <row r="169" spans="9:37" ht="19" x14ac:dyDescent="0.25">
      <c r="I169" s="14"/>
      <c r="J169" s="41">
        <v>130</v>
      </c>
      <c r="K169" s="43"/>
      <c r="L169" s="43"/>
      <c r="M169" s="43"/>
      <c r="N169" s="21" t="e">
        <f t="shared" si="18"/>
        <v>#N/A</v>
      </c>
      <c r="O169" s="21"/>
      <c r="P169" s="21"/>
      <c r="Q169" s="74">
        <f t="shared" ref="Q169:Q194" si="23">IFERROR(K169*M169*VLOOKUP(L169,Matrix_véhicule,3,FALSE)/IF(N169=1,1,K169),0)</f>
        <v>0</v>
      </c>
      <c r="R169" s="222" t="str">
        <f t="shared" si="17"/>
        <v>0.000</v>
      </c>
      <c r="S169" s="194"/>
      <c r="T169" s="41">
        <v>131</v>
      </c>
      <c r="U169" s="43"/>
      <c r="V169" s="43"/>
      <c r="W169" s="43"/>
      <c r="X169" s="21" t="e">
        <f t="shared" si="19"/>
        <v>#N/A</v>
      </c>
      <c r="Y169" s="21"/>
      <c r="Z169" s="21"/>
      <c r="AA169" s="74">
        <f t="shared" si="22"/>
        <v>0</v>
      </c>
      <c r="AB169" s="222" t="str">
        <f t="shared" ref="AB169:AB190" si="24">IF(OR(V169="automobile", V169="automobile hybride", V169="automobile électrique"), IFERROR(AA169/U169, 0), "0.000")</f>
        <v>0.000</v>
      </c>
      <c r="AC169" s="194"/>
      <c r="AD169" s="21"/>
      <c r="AE169" s="21"/>
      <c r="AF169" s="21"/>
      <c r="AG169" s="21"/>
      <c r="AH169" s="21"/>
      <c r="AI169" s="21"/>
      <c r="AJ169" s="21"/>
      <c r="AK169" s="21"/>
    </row>
    <row r="170" spans="9:37" ht="19" x14ac:dyDescent="0.25">
      <c r="I170" s="14"/>
      <c r="J170" s="41">
        <v>131</v>
      </c>
      <c r="K170" s="43"/>
      <c r="L170" s="43"/>
      <c r="M170" s="43"/>
      <c r="N170" s="21" t="e">
        <f t="shared" si="18"/>
        <v>#N/A</v>
      </c>
      <c r="O170" s="21"/>
      <c r="P170" s="21"/>
      <c r="Q170" s="74">
        <f t="shared" si="23"/>
        <v>0</v>
      </c>
      <c r="R170" s="222" t="str">
        <f t="shared" ref="R170:R194" si="25">IF(OR(L170="automobile", L170="automobile hybride", L170="automobile électrique"), IFERROR(Q170/K170, 0), "0.000")</f>
        <v>0.000</v>
      </c>
      <c r="S170" s="194"/>
      <c r="T170" s="41">
        <v>132</v>
      </c>
      <c r="U170" s="43"/>
      <c r="V170" s="43"/>
      <c r="W170" s="43"/>
      <c r="X170" s="21" t="e">
        <f t="shared" si="19"/>
        <v>#N/A</v>
      </c>
      <c r="Y170" s="21"/>
      <c r="Z170" s="21"/>
      <c r="AA170" s="74">
        <f t="shared" si="22"/>
        <v>0</v>
      </c>
      <c r="AB170" s="222" t="str">
        <f t="shared" si="24"/>
        <v>0.000</v>
      </c>
      <c r="AC170" s="194"/>
      <c r="AD170" s="21"/>
      <c r="AE170" s="21"/>
      <c r="AF170" s="21"/>
      <c r="AG170" s="21"/>
      <c r="AH170" s="21"/>
      <c r="AI170" s="21"/>
      <c r="AJ170" s="21"/>
      <c r="AK170" s="21"/>
    </row>
    <row r="171" spans="9:37" ht="19" x14ac:dyDescent="0.25">
      <c r="I171" s="14"/>
      <c r="J171" s="41">
        <v>132</v>
      </c>
      <c r="K171" s="43"/>
      <c r="L171" s="43"/>
      <c r="M171" s="43"/>
      <c r="N171" s="21" t="e">
        <f t="shared" si="18"/>
        <v>#N/A</v>
      </c>
      <c r="O171" s="21"/>
      <c r="P171" s="21"/>
      <c r="Q171" s="74">
        <f t="shared" si="23"/>
        <v>0</v>
      </c>
      <c r="R171" s="222" t="str">
        <f t="shared" si="25"/>
        <v>0.000</v>
      </c>
      <c r="S171" s="194"/>
      <c r="T171" s="41">
        <v>133</v>
      </c>
      <c r="U171" s="43"/>
      <c r="V171" s="43"/>
      <c r="W171" s="43"/>
      <c r="X171" s="21" t="e">
        <f t="shared" si="19"/>
        <v>#N/A</v>
      </c>
      <c r="Y171" s="21"/>
      <c r="Z171" s="21"/>
      <c r="AA171" s="74">
        <f t="shared" si="22"/>
        <v>0</v>
      </c>
      <c r="AB171" s="222" t="str">
        <f t="shared" si="24"/>
        <v>0.000</v>
      </c>
      <c r="AC171" s="194"/>
      <c r="AD171" s="21"/>
      <c r="AE171" s="21"/>
      <c r="AF171" s="21"/>
      <c r="AG171" s="21"/>
      <c r="AH171" s="21"/>
      <c r="AI171" s="21"/>
      <c r="AJ171" s="21"/>
      <c r="AK171" s="21"/>
    </row>
    <row r="172" spans="9:37" ht="19" x14ac:dyDescent="0.25">
      <c r="I172" s="14"/>
      <c r="J172" s="41">
        <v>133</v>
      </c>
      <c r="K172" s="43"/>
      <c r="L172" s="43"/>
      <c r="M172" s="43"/>
      <c r="N172" s="21" t="e">
        <f t="shared" si="18"/>
        <v>#N/A</v>
      </c>
      <c r="O172" s="21"/>
      <c r="P172" s="21"/>
      <c r="Q172" s="74">
        <f t="shared" si="23"/>
        <v>0</v>
      </c>
      <c r="R172" s="222" t="str">
        <f t="shared" si="25"/>
        <v>0.000</v>
      </c>
      <c r="S172" s="194"/>
      <c r="T172" s="41">
        <v>134</v>
      </c>
      <c r="U172" s="43"/>
      <c r="V172" s="43"/>
      <c r="W172" s="43"/>
      <c r="X172" s="21" t="e">
        <f t="shared" si="19"/>
        <v>#N/A</v>
      </c>
      <c r="Y172" s="21"/>
      <c r="Z172" s="21"/>
      <c r="AA172" s="74">
        <f t="shared" si="22"/>
        <v>0</v>
      </c>
      <c r="AB172" s="222" t="str">
        <f t="shared" si="24"/>
        <v>0.000</v>
      </c>
      <c r="AC172" s="194"/>
      <c r="AD172" s="21"/>
      <c r="AE172" s="21"/>
      <c r="AF172" s="21"/>
      <c r="AG172" s="21"/>
      <c r="AH172" s="21"/>
      <c r="AI172" s="21"/>
      <c r="AJ172" s="21"/>
      <c r="AK172" s="21"/>
    </row>
    <row r="173" spans="9:37" ht="19" x14ac:dyDescent="0.25">
      <c r="I173" s="14"/>
      <c r="J173" s="41">
        <v>134</v>
      </c>
      <c r="K173" s="43"/>
      <c r="L173" s="43"/>
      <c r="M173" s="43"/>
      <c r="N173" s="21" t="e">
        <f t="shared" ref="N173:N193" si="26">VLOOKUP(L173,Matrix_véhicule,4,FALSE)</f>
        <v>#N/A</v>
      </c>
      <c r="O173" s="21"/>
      <c r="P173" s="21"/>
      <c r="Q173" s="74">
        <f t="shared" si="23"/>
        <v>0</v>
      </c>
      <c r="R173" s="222" t="str">
        <f t="shared" si="25"/>
        <v>0.000</v>
      </c>
      <c r="S173" s="194"/>
      <c r="T173" s="41">
        <v>135</v>
      </c>
      <c r="U173" s="43"/>
      <c r="V173" s="43"/>
      <c r="W173" s="43"/>
      <c r="X173" s="21" t="e">
        <f t="shared" si="19"/>
        <v>#N/A</v>
      </c>
      <c r="Y173" s="21"/>
      <c r="Z173" s="21"/>
      <c r="AA173" s="74">
        <f t="shared" si="22"/>
        <v>0</v>
      </c>
      <c r="AB173" s="222" t="str">
        <f t="shared" si="24"/>
        <v>0.000</v>
      </c>
      <c r="AC173" s="194"/>
      <c r="AD173" s="21"/>
      <c r="AE173" s="21"/>
      <c r="AF173" s="21"/>
      <c r="AG173" s="21"/>
      <c r="AH173" s="21"/>
      <c r="AI173" s="21"/>
      <c r="AJ173" s="21"/>
      <c r="AK173" s="21"/>
    </row>
    <row r="174" spans="9:37" ht="19" x14ac:dyDescent="0.25">
      <c r="I174" s="14"/>
      <c r="J174" s="41">
        <v>135</v>
      </c>
      <c r="K174" s="43"/>
      <c r="L174" s="43"/>
      <c r="M174" s="43"/>
      <c r="N174" s="21" t="e">
        <f t="shared" si="26"/>
        <v>#N/A</v>
      </c>
      <c r="O174" s="21"/>
      <c r="P174" s="21"/>
      <c r="Q174" s="74">
        <f t="shared" si="23"/>
        <v>0</v>
      </c>
      <c r="R174" s="222" t="str">
        <f t="shared" si="25"/>
        <v>0.000</v>
      </c>
      <c r="S174" s="194"/>
      <c r="T174" s="41">
        <v>136</v>
      </c>
      <c r="U174" s="43"/>
      <c r="V174" s="43"/>
      <c r="W174" s="43"/>
      <c r="X174" s="21" t="e">
        <f t="shared" si="19"/>
        <v>#N/A</v>
      </c>
      <c r="Y174" s="21"/>
      <c r="Z174" s="21"/>
      <c r="AA174" s="74">
        <f t="shared" si="22"/>
        <v>0</v>
      </c>
      <c r="AB174" s="222" t="str">
        <f t="shared" si="24"/>
        <v>0.000</v>
      </c>
      <c r="AC174" s="194"/>
      <c r="AD174" s="21"/>
      <c r="AE174" s="21"/>
      <c r="AF174" s="21"/>
      <c r="AG174" s="21"/>
      <c r="AH174" s="21"/>
      <c r="AI174" s="21"/>
      <c r="AJ174" s="21"/>
      <c r="AK174" s="21"/>
    </row>
    <row r="175" spans="9:37" ht="19" x14ac:dyDescent="0.25">
      <c r="I175" s="14"/>
      <c r="J175" s="41">
        <v>136</v>
      </c>
      <c r="K175" s="43"/>
      <c r="L175" s="43"/>
      <c r="M175" s="43"/>
      <c r="N175" s="21" t="e">
        <f t="shared" si="26"/>
        <v>#N/A</v>
      </c>
      <c r="O175" s="21"/>
      <c r="P175" s="21"/>
      <c r="Q175" s="74">
        <f t="shared" si="23"/>
        <v>0</v>
      </c>
      <c r="R175" s="222" t="str">
        <f t="shared" si="25"/>
        <v>0.000</v>
      </c>
      <c r="S175" s="194"/>
      <c r="T175" s="41">
        <v>137</v>
      </c>
      <c r="U175" s="43"/>
      <c r="V175" s="43"/>
      <c r="W175" s="43"/>
      <c r="X175" s="21" t="e">
        <f t="shared" si="19"/>
        <v>#N/A</v>
      </c>
      <c r="Y175" s="21"/>
      <c r="Z175" s="21"/>
      <c r="AA175" s="74">
        <f t="shared" si="22"/>
        <v>0</v>
      </c>
      <c r="AB175" s="222" t="str">
        <f t="shared" si="24"/>
        <v>0.000</v>
      </c>
      <c r="AC175" s="194"/>
      <c r="AD175" s="21"/>
      <c r="AE175" s="21"/>
      <c r="AF175" s="21"/>
      <c r="AG175" s="21"/>
      <c r="AH175" s="21"/>
      <c r="AI175" s="21"/>
      <c r="AJ175" s="21"/>
      <c r="AK175" s="21"/>
    </row>
    <row r="176" spans="9:37" ht="19" x14ac:dyDescent="0.25">
      <c r="I176" s="14"/>
      <c r="J176" s="41">
        <v>137</v>
      </c>
      <c r="K176" s="43"/>
      <c r="L176" s="43"/>
      <c r="M176" s="43"/>
      <c r="N176" s="21" t="e">
        <f t="shared" si="26"/>
        <v>#N/A</v>
      </c>
      <c r="O176" s="21"/>
      <c r="P176" s="21"/>
      <c r="Q176" s="74">
        <f t="shared" si="23"/>
        <v>0</v>
      </c>
      <c r="R176" s="222" t="str">
        <f t="shared" si="25"/>
        <v>0.000</v>
      </c>
      <c r="S176" s="194"/>
      <c r="T176" s="41">
        <v>138</v>
      </c>
      <c r="U176" s="43"/>
      <c r="V176" s="43"/>
      <c r="W176" s="43"/>
      <c r="X176" s="21" t="e">
        <f t="shared" si="19"/>
        <v>#N/A</v>
      </c>
      <c r="Y176" s="21"/>
      <c r="Z176" s="21"/>
      <c r="AA176" s="74">
        <f t="shared" si="22"/>
        <v>0</v>
      </c>
      <c r="AB176" s="222" t="str">
        <f t="shared" si="24"/>
        <v>0.000</v>
      </c>
      <c r="AC176" s="194"/>
      <c r="AD176" s="21"/>
      <c r="AE176" s="21"/>
      <c r="AF176" s="21"/>
      <c r="AG176" s="21"/>
      <c r="AH176" s="21"/>
      <c r="AI176" s="21"/>
      <c r="AJ176" s="21"/>
      <c r="AK176" s="21"/>
    </row>
    <row r="177" spans="9:37" ht="19" x14ac:dyDescent="0.25">
      <c r="I177" s="14"/>
      <c r="J177" s="41">
        <v>138</v>
      </c>
      <c r="K177" s="43"/>
      <c r="L177" s="43"/>
      <c r="M177" s="43"/>
      <c r="N177" s="21" t="e">
        <f t="shared" si="26"/>
        <v>#N/A</v>
      </c>
      <c r="O177" s="21"/>
      <c r="P177" s="21"/>
      <c r="Q177" s="74">
        <f t="shared" si="23"/>
        <v>0</v>
      </c>
      <c r="R177" s="222" t="str">
        <f t="shared" si="25"/>
        <v>0.000</v>
      </c>
      <c r="S177" s="194"/>
      <c r="T177" s="41">
        <v>139</v>
      </c>
      <c r="U177" s="43"/>
      <c r="V177" s="43"/>
      <c r="W177" s="43"/>
      <c r="X177" s="21" t="e">
        <f t="shared" si="19"/>
        <v>#N/A</v>
      </c>
      <c r="Y177" s="21"/>
      <c r="Z177" s="21"/>
      <c r="AA177" s="74">
        <f t="shared" si="22"/>
        <v>0</v>
      </c>
      <c r="AB177" s="222" t="str">
        <f t="shared" si="24"/>
        <v>0.000</v>
      </c>
      <c r="AC177" s="194"/>
      <c r="AD177" s="21"/>
      <c r="AE177" s="21"/>
      <c r="AF177" s="21"/>
      <c r="AG177" s="21"/>
      <c r="AH177" s="21"/>
      <c r="AI177" s="21"/>
      <c r="AJ177" s="21"/>
      <c r="AK177" s="21"/>
    </row>
    <row r="178" spans="9:37" ht="19" x14ac:dyDescent="0.25">
      <c r="I178" s="14"/>
      <c r="J178" s="41">
        <v>139</v>
      </c>
      <c r="K178" s="43"/>
      <c r="L178" s="43"/>
      <c r="M178" s="43"/>
      <c r="N178" s="21" t="e">
        <f t="shared" si="26"/>
        <v>#N/A</v>
      </c>
      <c r="O178" s="21"/>
      <c r="P178" s="21"/>
      <c r="Q178" s="74">
        <f t="shared" si="23"/>
        <v>0</v>
      </c>
      <c r="R178" s="222" t="str">
        <f t="shared" si="25"/>
        <v>0.000</v>
      </c>
      <c r="S178" s="194"/>
      <c r="T178" s="41">
        <v>140</v>
      </c>
      <c r="U178" s="43"/>
      <c r="V178" s="43"/>
      <c r="W178" s="43"/>
      <c r="X178" s="21" t="e">
        <f t="shared" si="19"/>
        <v>#N/A</v>
      </c>
      <c r="Y178" s="21"/>
      <c r="Z178" s="21"/>
      <c r="AA178" s="74">
        <f t="shared" si="22"/>
        <v>0</v>
      </c>
      <c r="AB178" s="222" t="str">
        <f t="shared" si="24"/>
        <v>0.000</v>
      </c>
      <c r="AC178" s="194"/>
      <c r="AD178" s="21"/>
      <c r="AE178" s="21"/>
      <c r="AF178" s="21"/>
      <c r="AG178" s="21"/>
      <c r="AH178" s="21"/>
      <c r="AI178" s="21"/>
      <c r="AJ178" s="21"/>
      <c r="AK178" s="21"/>
    </row>
    <row r="179" spans="9:37" ht="19" x14ac:dyDescent="0.25">
      <c r="I179" s="14"/>
      <c r="J179" s="41">
        <v>140</v>
      </c>
      <c r="K179" s="43"/>
      <c r="L179" s="43"/>
      <c r="M179" s="43"/>
      <c r="N179" s="21" t="e">
        <f t="shared" si="26"/>
        <v>#N/A</v>
      </c>
      <c r="O179" s="21"/>
      <c r="P179" s="21"/>
      <c r="Q179" s="74">
        <f t="shared" si="23"/>
        <v>0</v>
      </c>
      <c r="R179" s="222" t="str">
        <f t="shared" si="25"/>
        <v>0.000</v>
      </c>
      <c r="S179" s="194"/>
      <c r="T179" s="41">
        <v>141</v>
      </c>
      <c r="U179" s="43"/>
      <c r="V179" s="43"/>
      <c r="W179" s="43"/>
      <c r="X179" s="21" t="e">
        <f t="shared" si="19"/>
        <v>#N/A</v>
      </c>
      <c r="Y179" s="21"/>
      <c r="Z179" s="21"/>
      <c r="AA179" s="74">
        <f t="shared" si="22"/>
        <v>0</v>
      </c>
      <c r="AB179" s="222" t="str">
        <f t="shared" si="24"/>
        <v>0.000</v>
      </c>
      <c r="AC179" s="194"/>
      <c r="AD179" s="21"/>
      <c r="AE179" s="21"/>
      <c r="AF179" s="21"/>
      <c r="AG179" s="21"/>
      <c r="AH179" s="21"/>
      <c r="AI179" s="21"/>
      <c r="AJ179" s="21"/>
      <c r="AK179" s="21"/>
    </row>
    <row r="180" spans="9:37" ht="19" x14ac:dyDescent="0.25">
      <c r="I180" s="14"/>
      <c r="J180" s="41">
        <v>141</v>
      </c>
      <c r="K180" s="43"/>
      <c r="L180" s="43"/>
      <c r="M180" s="43"/>
      <c r="N180" s="21" t="e">
        <f t="shared" si="26"/>
        <v>#N/A</v>
      </c>
      <c r="O180" s="21"/>
      <c r="P180" s="21"/>
      <c r="Q180" s="74">
        <f t="shared" si="23"/>
        <v>0</v>
      </c>
      <c r="R180" s="222" t="str">
        <f t="shared" si="25"/>
        <v>0.000</v>
      </c>
      <c r="S180" s="194"/>
      <c r="T180" s="41">
        <v>142</v>
      </c>
      <c r="U180" s="43"/>
      <c r="V180" s="43"/>
      <c r="W180" s="43"/>
      <c r="X180" s="21" t="e">
        <f t="shared" si="19"/>
        <v>#N/A</v>
      </c>
      <c r="Y180" s="21"/>
      <c r="Z180" s="21"/>
      <c r="AA180" s="74">
        <f t="shared" si="22"/>
        <v>0</v>
      </c>
      <c r="AB180" s="222" t="str">
        <f t="shared" si="24"/>
        <v>0.000</v>
      </c>
      <c r="AC180" s="194"/>
      <c r="AD180" s="21"/>
      <c r="AE180" s="21"/>
      <c r="AF180" s="21"/>
      <c r="AG180" s="21"/>
      <c r="AH180" s="21"/>
      <c r="AI180" s="21"/>
      <c r="AJ180" s="21"/>
      <c r="AK180" s="21"/>
    </row>
    <row r="181" spans="9:37" ht="19" x14ac:dyDescent="0.25">
      <c r="I181" s="14"/>
      <c r="J181" s="41">
        <v>142</v>
      </c>
      <c r="K181" s="43"/>
      <c r="L181" s="43"/>
      <c r="M181" s="43"/>
      <c r="N181" s="21" t="e">
        <f t="shared" si="26"/>
        <v>#N/A</v>
      </c>
      <c r="O181" s="21"/>
      <c r="P181" s="21"/>
      <c r="Q181" s="74">
        <f t="shared" si="23"/>
        <v>0</v>
      </c>
      <c r="R181" s="222" t="str">
        <f t="shared" si="25"/>
        <v>0.000</v>
      </c>
      <c r="S181" s="194"/>
      <c r="T181" s="41">
        <v>143</v>
      </c>
      <c r="U181" s="43"/>
      <c r="V181" s="43"/>
      <c r="W181" s="43"/>
      <c r="X181" s="21" t="e">
        <f t="shared" si="19"/>
        <v>#N/A</v>
      </c>
      <c r="Y181" s="21"/>
      <c r="Z181" s="21"/>
      <c r="AA181" s="74">
        <f t="shared" si="22"/>
        <v>0</v>
      </c>
      <c r="AB181" s="222" t="str">
        <f t="shared" si="24"/>
        <v>0.000</v>
      </c>
      <c r="AC181" s="194"/>
      <c r="AD181" s="21"/>
      <c r="AE181" s="21"/>
      <c r="AF181" s="21"/>
      <c r="AG181" s="21"/>
      <c r="AH181" s="21"/>
      <c r="AI181" s="21"/>
      <c r="AJ181" s="21"/>
      <c r="AK181" s="21"/>
    </row>
    <row r="182" spans="9:37" ht="19" x14ac:dyDescent="0.25">
      <c r="I182" s="14"/>
      <c r="J182" s="41">
        <v>143</v>
      </c>
      <c r="K182" s="43"/>
      <c r="L182" s="43"/>
      <c r="M182" s="43"/>
      <c r="N182" s="21" t="e">
        <f t="shared" si="26"/>
        <v>#N/A</v>
      </c>
      <c r="O182" s="21"/>
      <c r="P182" s="21"/>
      <c r="Q182" s="74">
        <f t="shared" si="23"/>
        <v>0</v>
      </c>
      <c r="R182" s="222" t="str">
        <f t="shared" si="25"/>
        <v>0.000</v>
      </c>
      <c r="S182" s="194"/>
      <c r="T182" s="41">
        <v>144</v>
      </c>
      <c r="U182" s="43"/>
      <c r="V182" s="43"/>
      <c r="W182" s="43"/>
      <c r="X182" s="21" t="e">
        <f t="shared" si="19"/>
        <v>#N/A</v>
      </c>
      <c r="Y182" s="21"/>
      <c r="Z182" s="21"/>
      <c r="AA182" s="74">
        <f t="shared" si="22"/>
        <v>0</v>
      </c>
      <c r="AB182" s="222" t="str">
        <f t="shared" si="24"/>
        <v>0.000</v>
      </c>
      <c r="AC182" s="194"/>
      <c r="AD182" s="21"/>
      <c r="AE182" s="21"/>
      <c r="AF182" s="21"/>
      <c r="AG182" s="21"/>
      <c r="AH182" s="21"/>
      <c r="AI182" s="21"/>
      <c r="AJ182" s="21"/>
      <c r="AK182" s="21"/>
    </row>
    <row r="183" spans="9:37" ht="19" x14ac:dyDescent="0.25">
      <c r="I183" s="14"/>
      <c r="J183" s="41">
        <v>144</v>
      </c>
      <c r="K183" s="43"/>
      <c r="L183" s="43"/>
      <c r="M183" s="43"/>
      <c r="N183" s="21" t="e">
        <f t="shared" si="26"/>
        <v>#N/A</v>
      </c>
      <c r="O183" s="21"/>
      <c r="P183" s="21"/>
      <c r="Q183" s="74">
        <f t="shared" si="23"/>
        <v>0</v>
      </c>
      <c r="R183" s="222" t="str">
        <f t="shared" si="25"/>
        <v>0.000</v>
      </c>
      <c r="S183" s="194"/>
      <c r="T183" s="41">
        <v>145</v>
      </c>
      <c r="U183" s="43"/>
      <c r="V183" s="43"/>
      <c r="W183" s="43"/>
      <c r="X183" s="21" t="e">
        <f t="shared" si="19"/>
        <v>#N/A</v>
      </c>
      <c r="Y183" s="21"/>
      <c r="Z183" s="21"/>
      <c r="AA183" s="74">
        <f t="shared" si="22"/>
        <v>0</v>
      </c>
      <c r="AB183" s="222" t="str">
        <f t="shared" si="24"/>
        <v>0.000</v>
      </c>
      <c r="AC183" s="194"/>
      <c r="AD183" s="21"/>
      <c r="AE183" s="21"/>
      <c r="AF183" s="21"/>
      <c r="AG183" s="21"/>
      <c r="AH183" s="21"/>
      <c r="AI183" s="21"/>
      <c r="AJ183" s="21"/>
      <c r="AK183" s="21"/>
    </row>
    <row r="184" spans="9:37" ht="19" x14ac:dyDescent="0.25">
      <c r="I184" s="14"/>
      <c r="J184" s="41">
        <v>145</v>
      </c>
      <c r="K184" s="43"/>
      <c r="L184" s="43"/>
      <c r="M184" s="43"/>
      <c r="N184" s="21" t="e">
        <f t="shared" si="26"/>
        <v>#N/A</v>
      </c>
      <c r="O184" s="21"/>
      <c r="P184" s="21"/>
      <c r="Q184" s="74">
        <f t="shared" si="23"/>
        <v>0</v>
      </c>
      <c r="R184" s="222" t="str">
        <f t="shared" si="25"/>
        <v>0.000</v>
      </c>
      <c r="S184" s="194"/>
      <c r="T184" s="41">
        <v>146</v>
      </c>
      <c r="U184" s="43"/>
      <c r="V184" s="43"/>
      <c r="W184" s="43"/>
      <c r="X184" s="21" t="e">
        <f t="shared" si="19"/>
        <v>#N/A</v>
      </c>
      <c r="Y184" s="21"/>
      <c r="Z184" s="21"/>
      <c r="AA184" s="74">
        <f t="shared" si="22"/>
        <v>0</v>
      </c>
      <c r="AB184" s="222" t="str">
        <f t="shared" si="24"/>
        <v>0.000</v>
      </c>
      <c r="AC184" s="194"/>
      <c r="AD184" s="21"/>
      <c r="AE184" s="21"/>
      <c r="AF184" s="21"/>
      <c r="AG184" s="21"/>
      <c r="AH184" s="21"/>
      <c r="AI184" s="21"/>
      <c r="AJ184" s="21"/>
      <c r="AK184" s="21"/>
    </row>
    <row r="185" spans="9:37" ht="19" x14ac:dyDescent="0.25">
      <c r="I185" s="14"/>
      <c r="J185" s="41">
        <v>146</v>
      </c>
      <c r="K185" s="43"/>
      <c r="L185" s="43"/>
      <c r="M185" s="43"/>
      <c r="N185" s="21" t="e">
        <f t="shared" si="26"/>
        <v>#N/A</v>
      </c>
      <c r="O185" s="21"/>
      <c r="P185" s="21"/>
      <c r="Q185" s="74">
        <f t="shared" si="23"/>
        <v>0</v>
      </c>
      <c r="R185" s="222" t="str">
        <f t="shared" si="25"/>
        <v>0.000</v>
      </c>
      <c r="S185" s="194"/>
      <c r="T185" s="41">
        <v>147</v>
      </c>
      <c r="U185" s="43"/>
      <c r="V185" s="43"/>
      <c r="W185" s="43"/>
      <c r="X185" s="21" t="e">
        <f t="shared" si="19"/>
        <v>#N/A</v>
      </c>
      <c r="Y185" s="21"/>
      <c r="Z185" s="21"/>
      <c r="AA185" s="74">
        <f t="shared" si="22"/>
        <v>0</v>
      </c>
      <c r="AB185" s="222" t="str">
        <f t="shared" si="24"/>
        <v>0.000</v>
      </c>
      <c r="AC185" s="194"/>
      <c r="AD185" s="21"/>
      <c r="AE185" s="21"/>
      <c r="AF185" s="21"/>
      <c r="AG185" s="21"/>
      <c r="AH185" s="21"/>
      <c r="AI185" s="21"/>
      <c r="AJ185" s="21"/>
      <c r="AK185" s="21"/>
    </row>
    <row r="186" spans="9:37" ht="19" x14ac:dyDescent="0.25">
      <c r="I186" s="14"/>
      <c r="J186" s="41">
        <v>147</v>
      </c>
      <c r="K186" s="43"/>
      <c r="L186" s="43"/>
      <c r="M186" s="43"/>
      <c r="N186" s="21" t="e">
        <f t="shared" si="26"/>
        <v>#N/A</v>
      </c>
      <c r="O186" s="21"/>
      <c r="P186" s="21"/>
      <c r="Q186" s="74">
        <f t="shared" si="23"/>
        <v>0</v>
      </c>
      <c r="R186" s="222" t="str">
        <f t="shared" si="25"/>
        <v>0.000</v>
      </c>
      <c r="S186" s="194"/>
      <c r="T186" s="41">
        <v>148</v>
      </c>
      <c r="U186" s="43"/>
      <c r="V186" s="43"/>
      <c r="W186" s="43"/>
      <c r="X186" s="21" t="e">
        <f t="shared" si="19"/>
        <v>#N/A</v>
      </c>
      <c r="Y186" s="21"/>
      <c r="Z186" s="21"/>
      <c r="AA186" s="74">
        <f t="shared" si="22"/>
        <v>0</v>
      </c>
      <c r="AB186" s="222" t="str">
        <f t="shared" si="24"/>
        <v>0.000</v>
      </c>
      <c r="AC186" s="194"/>
      <c r="AD186" s="21"/>
      <c r="AE186" s="21"/>
      <c r="AF186" s="21"/>
      <c r="AG186" s="21"/>
      <c r="AH186" s="21"/>
      <c r="AI186" s="21"/>
      <c r="AJ186" s="21"/>
      <c r="AK186" s="21"/>
    </row>
    <row r="187" spans="9:37" ht="19" x14ac:dyDescent="0.25">
      <c r="I187" s="14"/>
      <c r="J187" s="41">
        <v>148</v>
      </c>
      <c r="K187" s="43"/>
      <c r="L187" s="43"/>
      <c r="M187" s="43"/>
      <c r="N187" s="21" t="e">
        <f t="shared" si="26"/>
        <v>#N/A</v>
      </c>
      <c r="O187" s="21"/>
      <c r="P187" s="21"/>
      <c r="Q187" s="74">
        <f t="shared" si="23"/>
        <v>0</v>
      </c>
      <c r="R187" s="222" t="str">
        <f t="shared" si="25"/>
        <v>0.000</v>
      </c>
      <c r="S187" s="194"/>
      <c r="T187" s="41">
        <v>149</v>
      </c>
      <c r="U187" s="43"/>
      <c r="V187" s="43"/>
      <c r="W187" s="43"/>
      <c r="X187" s="21" t="e">
        <f t="shared" si="19"/>
        <v>#N/A</v>
      </c>
      <c r="Y187" s="21"/>
      <c r="Z187" s="21"/>
      <c r="AA187" s="74">
        <f t="shared" si="22"/>
        <v>0</v>
      </c>
      <c r="AB187" s="222" t="str">
        <f t="shared" si="24"/>
        <v>0.000</v>
      </c>
      <c r="AC187" s="194"/>
      <c r="AD187" s="21"/>
      <c r="AE187" s="21"/>
      <c r="AF187" s="21"/>
      <c r="AG187" s="21"/>
      <c r="AH187" s="21"/>
      <c r="AI187" s="21"/>
      <c r="AJ187" s="21"/>
      <c r="AK187" s="21"/>
    </row>
    <row r="188" spans="9:37" ht="19" x14ac:dyDescent="0.25">
      <c r="I188" s="14"/>
      <c r="J188" s="41">
        <v>149</v>
      </c>
      <c r="K188" s="43"/>
      <c r="L188" s="43"/>
      <c r="M188" s="43"/>
      <c r="N188" s="21" t="e">
        <f t="shared" si="26"/>
        <v>#N/A</v>
      </c>
      <c r="O188" s="21"/>
      <c r="P188" s="21"/>
      <c r="Q188" s="74">
        <f t="shared" si="23"/>
        <v>0</v>
      </c>
      <c r="R188" s="222" t="str">
        <f t="shared" si="25"/>
        <v>0.000</v>
      </c>
      <c r="S188" s="194"/>
      <c r="T188" s="41">
        <v>150</v>
      </c>
      <c r="U188" s="43"/>
      <c r="V188" s="43"/>
      <c r="W188" s="43"/>
      <c r="X188" s="21" t="e">
        <f t="shared" ref="X188:X189" si="27">VLOOKUP(V188,Matrix_véhicule,4,FALSE)</f>
        <v>#N/A</v>
      </c>
      <c r="Y188" s="21"/>
      <c r="Z188" s="21"/>
      <c r="AA188" s="74">
        <f t="shared" si="22"/>
        <v>0</v>
      </c>
      <c r="AB188" s="222" t="str">
        <f t="shared" si="24"/>
        <v>0.000</v>
      </c>
      <c r="AC188" s="194"/>
      <c r="AD188" s="21"/>
      <c r="AE188" s="21"/>
      <c r="AF188" s="21"/>
      <c r="AG188" s="21"/>
      <c r="AH188" s="21"/>
      <c r="AI188" s="21"/>
      <c r="AJ188" s="21"/>
      <c r="AK188" s="21"/>
    </row>
    <row r="189" spans="9:37" ht="19" x14ac:dyDescent="0.25">
      <c r="I189" s="14"/>
      <c r="J189" s="41">
        <v>150</v>
      </c>
      <c r="K189" s="43"/>
      <c r="L189" s="43"/>
      <c r="M189" s="43"/>
      <c r="N189" s="21" t="e">
        <f t="shared" si="26"/>
        <v>#N/A</v>
      </c>
      <c r="O189" s="21"/>
      <c r="P189" s="21"/>
      <c r="Q189" s="74">
        <f t="shared" si="23"/>
        <v>0</v>
      </c>
      <c r="R189" s="222" t="str">
        <f t="shared" si="25"/>
        <v>0.000</v>
      </c>
      <c r="S189" s="194"/>
      <c r="T189" s="41">
        <v>151</v>
      </c>
      <c r="U189" s="43"/>
      <c r="V189" s="43"/>
      <c r="W189" s="43"/>
      <c r="X189" s="21" t="e">
        <f t="shared" si="27"/>
        <v>#N/A</v>
      </c>
      <c r="Y189" s="21"/>
      <c r="Z189" s="21"/>
      <c r="AA189" s="74">
        <f t="shared" si="22"/>
        <v>0</v>
      </c>
      <c r="AB189" s="222" t="str">
        <f t="shared" si="24"/>
        <v>0.000</v>
      </c>
      <c r="AC189" s="194"/>
      <c r="AD189" s="21"/>
      <c r="AE189" s="21"/>
      <c r="AF189" s="21"/>
      <c r="AG189" s="21"/>
      <c r="AH189" s="21"/>
      <c r="AI189" s="21"/>
      <c r="AJ189" s="21"/>
      <c r="AK189" s="21"/>
    </row>
    <row r="190" spans="9:37" ht="20" thickBot="1" x14ac:dyDescent="0.3">
      <c r="I190" s="14"/>
      <c r="J190" s="41">
        <v>151</v>
      </c>
      <c r="K190" s="5"/>
      <c r="L190" s="5"/>
      <c r="M190" s="5"/>
      <c r="N190" s="21" t="e">
        <f t="shared" si="26"/>
        <v>#N/A</v>
      </c>
      <c r="O190" s="21"/>
      <c r="P190" s="21"/>
      <c r="Q190" s="74">
        <f t="shared" si="23"/>
        <v>0</v>
      </c>
      <c r="R190" s="222" t="str">
        <f t="shared" si="25"/>
        <v>0.000</v>
      </c>
      <c r="S190" s="176"/>
      <c r="T190" s="41">
        <v>152</v>
      </c>
      <c r="U190" s="47"/>
      <c r="V190" s="47"/>
      <c r="W190" s="47"/>
      <c r="X190" s="27" t="e">
        <f t="shared" ref="X190" si="28">VLOOKUP(V190,Matrix_véhicule,4,FALSE)</f>
        <v>#N/A</v>
      </c>
      <c r="Y190" s="27"/>
      <c r="Z190" s="27"/>
      <c r="AA190" s="74">
        <f t="shared" si="22"/>
        <v>0</v>
      </c>
      <c r="AB190" s="222" t="str">
        <f t="shared" si="24"/>
        <v>0.000</v>
      </c>
      <c r="AC190" s="195"/>
    </row>
    <row r="191" spans="9:37" ht="19" x14ac:dyDescent="0.25">
      <c r="I191" s="14"/>
      <c r="J191" s="41">
        <v>152</v>
      </c>
      <c r="K191" s="5"/>
      <c r="L191" s="5"/>
      <c r="M191" s="5"/>
      <c r="N191" s="21" t="e">
        <f t="shared" si="26"/>
        <v>#N/A</v>
      </c>
      <c r="O191" s="21"/>
      <c r="P191" s="21"/>
      <c r="Q191" s="74">
        <f t="shared" si="23"/>
        <v>0</v>
      </c>
      <c r="R191" s="222" t="str">
        <f t="shared" si="25"/>
        <v>0.000</v>
      </c>
      <c r="S191" s="46"/>
      <c r="T191" s="125"/>
      <c r="AA191" s="125"/>
      <c r="AB191" s="125"/>
    </row>
    <row r="192" spans="9:37" ht="19" x14ac:dyDescent="0.25">
      <c r="I192" s="14"/>
      <c r="J192" s="41">
        <v>153</v>
      </c>
      <c r="K192" s="5"/>
      <c r="L192" s="5"/>
      <c r="M192" s="5"/>
      <c r="N192" s="21" t="e">
        <f t="shared" si="26"/>
        <v>#N/A</v>
      </c>
      <c r="O192" s="21"/>
      <c r="P192" s="21"/>
      <c r="Q192" s="74">
        <f t="shared" si="23"/>
        <v>0</v>
      </c>
      <c r="R192" s="222" t="str">
        <f t="shared" si="25"/>
        <v>0.000</v>
      </c>
    </row>
    <row r="193" spans="9:18" ht="20" thickBot="1" x14ac:dyDescent="0.3">
      <c r="I193" s="14"/>
      <c r="J193" s="41">
        <v>154</v>
      </c>
      <c r="K193" s="5"/>
      <c r="L193" s="5"/>
      <c r="M193" s="5"/>
      <c r="N193" s="27" t="e">
        <f t="shared" si="26"/>
        <v>#N/A</v>
      </c>
      <c r="O193" s="21"/>
      <c r="P193" s="21"/>
      <c r="Q193" s="74">
        <f t="shared" si="23"/>
        <v>0</v>
      </c>
      <c r="R193" s="222" t="str">
        <f t="shared" si="25"/>
        <v>0.000</v>
      </c>
    </row>
    <row r="194" spans="9:18" ht="20" thickBot="1" x14ac:dyDescent="0.3">
      <c r="I194" s="14"/>
      <c r="J194" s="41">
        <v>155</v>
      </c>
      <c r="K194" s="31"/>
      <c r="L194" s="31"/>
      <c r="M194" s="31"/>
      <c r="N194" s="27" t="e">
        <f t="shared" ref="N194" si="29">VLOOKUP(L194,Matrix_véhicule,4,FALSE)</f>
        <v>#N/A</v>
      </c>
      <c r="O194" s="27"/>
      <c r="P194" s="27"/>
      <c r="Q194" s="74">
        <f t="shared" si="23"/>
        <v>0</v>
      </c>
      <c r="R194" s="231" t="str">
        <f t="shared" si="25"/>
        <v>0.000</v>
      </c>
    </row>
    <row r="195" spans="9:18" x14ac:dyDescent="0.2">
      <c r="J195" s="125"/>
      <c r="Q195" s="125"/>
    </row>
  </sheetData>
  <sheetProtection algorithmName="SHA-512" hashValue="3iz2igztdLd8L1u0am4OxeB7y9/a7uCu3++kfbCcUWQeppUzmbWbzBC+avKOUEqx/CuPSRsuhZ1aeQNx1IRWTg==" saltValue="Z3WvFQx0JIQCpck8uU37ig==" spinCount="100000" sheet="1" objects="1" scenarios="1"/>
  <mergeCells count="18">
    <mergeCell ref="AD38:AK38"/>
    <mergeCell ref="M39:P39"/>
    <mergeCell ref="B41:C41"/>
    <mergeCell ref="D41:G41"/>
    <mergeCell ref="A57:H59"/>
    <mergeCell ref="A99:H99"/>
    <mergeCell ref="J28:M28"/>
    <mergeCell ref="O28:Q29"/>
    <mergeCell ref="A29:H29"/>
    <mergeCell ref="B32:C32"/>
    <mergeCell ref="D32:G32"/>
    <mergeCell ref="AD34:AK37"/>
    <mergeCell ref="K1:L1"/>
    <mergeCell ref="D2:G2"/>
    <mergeCell ref="J3:O7"/>
    <mergeCell ref="A19:C19"/>
    <mergeCell ref="A26:H26"/>
    <mergeCell ref="J26:AK27"/>
  </mergeCells>
  <conditionalFormatting sqref="B5:B9 U40:W190 K41:M194">
    <cfRule type="containsBlanks" dxfId="11" priority="11">
      <formula>LEN(TRIM(B5))=0</formula>
    </cfRule>
  </conditionalFormatting>
  <conditionalFormatting sqref="B14:B15">
    <cfRule type="containsBlanks" dxfId="10" priority="10">
      <formula>LEN(TRIM(B14))=0</formula>
    </cfRule>
  </conditionalFormatting>
  <conditionalFormatting sqref="B27:B28 B30">
    <cfRule type="containsBlanks" dxfId="9" priority="9">
      <formula>LEN(TRIM(B27))=0</formula>
    </cfRule>
  </conditionalFormatting>
  <conditionalFormatting sqref="B35:B37">
    <cfRule type="containsBlanks" dxfId="8" priority="8">
      <formula>LEN(TRIM(B35))=0</formula>
    </cfRule>
  </conditionalFormatting>
  <conditionalFormatting sqref="B44:B47">
    <cfRule type="containsBlanks" dxfId="7" priority="7">
      <formula>LEN(TRIM(B44))=0</formula>
    </cfRule>
  </conditionalFormatting>
  <conditionalFormatting sqref="B50:B52">
    <cfRule type="containsBlanks" dxfId="6" priority="3">
      <formula>LEN(TRIM(B50))=0</formula>
    </cfRule>
  </conditionalFormatting>
  <conditionalFormatting sqref="B55:B56">
    <cfRule type="containsBlanks" dxfId="5" priority="2">
      <formula>LEN(TRIM(B55))=0</formula>
    </cfRule>
  </conditionalFormatting>
  <conditionalFormatting sqref="D55:D56">
    <cfRule type="containsBlanks" dxfId="4" priority="1">
      <formula>LEN(TRIM(D55))=0</formula>
    </cfRule>
  </conditionalFormatting>
  <conditionalFormatting sqref="K34:K36">
    <cfRule type="containsBlanks" dxfId="3" priority="6">
      <formula>LEN(TRIM(K34))=0</formula>
    </cfRule>
  </conditionalFormatting>
  <conditionalFormatting sqref="AG40:AG53">
    <cfRule type="containsBlanks" dxfId="2" priority="5">
      <formula>LEN(TRIM(AG40))=0</formula>
    </cfRule>
  </conditionalFormatting>
  <conditionalFormatting sqref="AI40:AI53">
    <cfRule type="containsBlanks" dxfId="1" priority="4">
      <formula>LEN(TRIM(AI40))=0</formula>
    </cfRule>
  </conditionalFormatting>
  <dataValidations count="2">
    <dataValidation type="list" allowBlank="1" showInputMessage="1" showErrorMessage="1" sqref="L41:L194 V40:V190" xr:uid="{571F4068-F55C-0748-BCDF-7A174B64CD64}">
      <formula1>Véhicule</formula1>
    </dataValidation>
    <dataValidation type="list" allowBlank="1" showInputMessage="1" showErrorMessage="1" sqref="A27:A28" xr:uid="{D46BD880-1CA6-5E40-B208-D4F7780420E9}">
      <formula1>Refrigerant</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EEECA-3606-1F4E-BC47-50BC9107F913}">
  <sheetPr>
    <tabColor theme="9"/>
  </sheetPr>
  <dimension ref="A1:I20"/>
  <sheetViews>
    <sheetView workbookViewId="0">
      <selection activeCell="I25" sqref="I25"/>
    </sheetView>
  </sheetViews>
  <sheetFormatPr baseColWidth="10" defaultRowHeight="16" x14ac:dyDescent="0.2"/>
  <cols>
    <col min="1" max="1" width="62.6640625" customWidth="1"/>
    <col min="3" max="3" width="28.6640625" customWidth="1"/>
    <col min="4" max="4" width="24.83203125" customWidth="1"/>
    <col min="5" max="7" width="16.1640625" bestFit="1" customWidth="1"/>
    <col min="8" max="8" width="25.1640625" customWidth="1"/>
    <col min="9" max="9" width="51.6640625" style="3" customWidth="1"/>
  </cols>
  <sheetData>
    <row r="1" spans="1:9" ht="17" thickBot="1" x14ac:dyDescent="0.25"/>
    <row r="2" spans="1:9" ht="22" thickBot="1" x14ac:dyDescent="0.3">
      <c r="A2" s="87" t="s">
        <v>378</v>
      </c>
      <c r="B2" s="68"/>
      <c r="C2" s="67" t="s">
        <v>87</v>
      </c>
      <c r="D2" s="67" t="s">
        <v>317</v>
      </c>
      <c r="E2" s="68"/>
      <c r="F2" s="68"/>
      <c r="G2" s="88"/>
      <c r="H2" s="67" t="s">
        <v>216</v>
      </c>
      <c r="I2" s="200" t="s">
        <v>565</v>
      </c>
    </row>
    <row r="3" spans="1:9" ht="21" x14ac:dyDescent="0.25">
      <c r="A3" s="21" t="s">
        <v>379</v>
      </c>
      <c r="B3" s="28"/>
      <c r="C3" s="21" t="s">
        <v>439</v>
      </c>
      <c r="D3" s="113"/>
      <c r="G3" s="108"/>
      <c r="H3" s="72">
        <f>IF(D3&gt;=0.1, B3*Références!B147/D3, IF(D3="", B3*Références!B147,""))</f>
        <v>0</v>
      </c>
      <c r="I3" s="181"/>
    </row>
    <row r="4" spans="1:9" ht="21" x14ac:dyDescent="0.25">
      <c r="A4" s="21" t="s">
        <v>382</v>
      </c>
      <c r="B4" s="28"/>
      <c r="C4" s="21" t="s">
        <v>439</v>
      </c>
      <c r="D4" s="113"/>
      <c r="G4" s="108"/>
      <c r="H4" s="72">
        <f>IF(D4&gt;=0.1, B4*Références!B148/D4, IF(D4="", B4*Références!B148,""))</f>
        <v>0</v>
      </c>
      <c r="I4" s="180"/>
    </row>
    <row r="5" spans="1:9" ht="21" x14ac:dyDescent="0.25">
      <c r="A5" s="21" t="s">
        <v>383</v>
      </c>
      <c r="B5" s="28"/>
      <c r="C5" s="21" t="s">
        <v>439</v>
      </c>
      <c r="D5" s="113"/>
      <c r="G5" s="108"/>
      <c r="H5" s="72">
        <f>IF(D5&gt;=0.1, B5*Références!B149/D5, IF(D5="", B5*Références!B149,""))</f>
        <v>0</v>
      </c>
      <c r="I5" s="180"/>
    </row>
    <row r="6" spans="1:9" ht="21" x14ac:dyDescent="0.25">
      <c r="A6" s="21" t="s">
        <v>384</v>
      </c>
      <c r="B6" s="28"/>
      <c r="C6" s="21" t="s">
        <v>439</v>
      </c>
      <c r="D6" s="113"/>
      <c r="G6" s="108"/>
      <c r="H6" s="72">
        <f>IF(D6&gt;=0.1, B6*Références!B150/D6, IF(D6="", B6*Références!B150,""))</f>
        <v>0</v>
      </c>
      <c r="I6" s="180"/>
    </row>
    <row r="7" spans="1:9" ht="21" x14ac:dyDescent="0.25">
      <c r="A7" s="21" t="s">
        <v>385</v>
      </c>
      <c r="B7" s="28"/>
      <c r="C7" s="21" t="s">
        <v>439</v>
      </c>
      <c r="D7" s="113"/>
      <c r="G7" s="108"/>
      <c r="H7" s="72">
        <f>IF(D7&gt;=0.1, B7*Références!B151/D7, IF(D7="", B7*Références!B151,""))</f>
        <v>0</v>
      </c>
      <c r="I7" s="180"/>
    </row>
    <row r="8" spans="1:9" ht="21" x14ac:dyDescent="0.25">
      <c r="A8" s="21" t="s">
        <v>386</v>
      </c>
      <c r="B8" s="28"/>
      <c r="C8" s="21" t="s">
        <v>439</v>
      </c>
      <c r="D8" s="113"/>
      <c r="G8" s="108"/>
      <c r="H8" s="72">
        <f>IF(D8&gt;=0.1, B8*Références!B152/D8, IF(D8="", B8*Références!B152,""))</f>
        <v>0</v>
      </c>
      <c r="I8" s="180"/>
    </row>
    <row r="9" spans="1:9" ht="21" x14ac:dyDescent="0.25">
      <c r="A9" s="21" t="s">
        <v>387</v>
      </c>
      <c r="B9" s="28"/>
      <c r="C9" s="21" t="s">
        <v>433</v>
      </c>
      <c r="G9" s="108"/>
      <c r="H9" s="72">
        <f>IF(D9&gt;=0.1, B9*Références!B153/D9, IF(D9="", B9*Références!B153,""))</f>
        <v>0</v>
      </c>
      <c r="I9" s="180"/>
    </row>
    <row r="10" spans="1:9" ht="21" x14ac:dyDescent="0.25">
      <c r="A10" s="21" t="s">
        <v>388</v>
      </c>
      <c r="B10" s="28"/>
      <c r="C10" s="21" t="s">
        <v>433</v>
      </c>
      <c r="G10" s="108"/>
      <c r="H10" s="72">
        <f>IF(D10&gt;=0.1, B10*Références!B154/D10, IF(D10="", B10*Références!B154,""))</f>
        <v>0</v>
      </c>
      <c r="I10" s="180"/>
    </row>
    <row r="11" spans="1:9" ht="21" x14ac:dyDescent="0.25">
      <c r="A11" s="21" t="s">
        <v>389</v>
      </c>
      <c r="B11" s="28"/>
      <c r="C11" s="21" t="s">
        <v>529</v>
      </c>
      <c r="D11" s="113"/>
      <c r="G11" s="108"/>
      <c r="H11" s="72">
        <f>IF(D11&gt;=0.1, B11*Références!B155/D11, IF(D11="", B11*Références!B155,""))</f>
        <v>0</v>
      </c>
      <c r="I11" s="180"/>
    </row>
    <row r="12" spans="1:9" ht="21" x14ac:dyDescent="0.25">
      <c r="A12" s="21" t="s">
        <v>390</v>
      </c>
      <c r="B12" s="28"/>
      <c r="C12" s="21" t="s">
        <v>439</v>
      </c>
      <c r="D12" s="113"/>
      <c r="G12" s="108"/>
      <c r="H12" s="72">
        <f>IF(D12&gt;=0.1, B12*Références!B156/D12, IF(D12="", B12*Références!B156,""))</f>
        <v>0</v>
      </c>
      <c r="I12" s="180"/>
    </row>
    <row r="13" spans="1:9" ht="21" x14ac:dyDescent="0.25">
      <c r="A13" s="21" t="s">
        <v>391</v>
      </c>
      <c r="B13" s="28"/>
      <c r="C13" s="21" t="s">
        <v>439</v>
      </c>
      <c r="D13" s="113"/>
      <c r="G13" s="108"/>
      <c r="H13" s="72">
        <f>IF(D13&gt;=0.1, B13*Références!B157/D13, IF(D13="", B13*Références!B157,""))</f>
        <v>0</v>
      </c>
      <c r="I13" s="180"/>
    </row>
    <row r="14" spans="1:9" ht="21" x14ac:dyDescent="0.25">
      <c r="A14" s="21" t="s">
        <v>392</v>
      </c>
      <c r="B14" s="28"/>
      <c r="C14" s="21" t="s">
        <v>439</v>
      </c>
      <c r="D14" s="113"/>
      <c r="G14" s="108"/>
      <c r="H14" s="72">
        <f>IF(D14&gt;=0.1, B14*Références!B158/D14, IF(D14="", B14*Références!B158,""))</f>
        <v>0</v>
      </c>
      <c r="I14" s="180"/>
    </row>
    <row r="15" spans="1:9" ht="21" x14ac:dyDescent="0.25">
      <c r="A15" s="21" t="s">
        <v>393</v>
      </c>
      <c r="B15" s="28"/>
      <c r="C15" s="21" t="s">
        <v>439</v>
      </c>
      <c r="D15" s="113"/>
      <c r="G15" s="108"/>
      <c r="H15" s="72">
        <f>IF(D15&gt;=0.1, B15*Références!B159/D15, IF(D15="", B15*Références!B159,""))</f>
        <v>0</v>
      </c>
      <c r="I15" s="180"/>
    </row>
    <row r="16" spans="1:9" ht="21" x14ac:dyDescent="0.25">
      <c r="A16" s="21" t="s">
        <v>427</v>
      </c>
      <c r="B16" s="28"/>
      <c r="C16" s="21" t="s">
        <v>439</v>
      </c>
      <c r="D16" s="113"/>
      <c r="G16" s="108"/>
      <c r="H16" s="72">
        <f>IF(D16&gt;=0.1, B16*Références!B160/D16, IF(D16="", B16*Références!B160,""))</f>
        <v>0</v>
      </c>
      <c r="I16" s="180"/>
    </row>
    <row r="17" spans="1:9" ht="21" x14ac:dyDescent="0.25">
      <c r="A17" s="21" t="s">
        <v>428</v>
      </c>
      <c r="B17" s="28"/>
      <c r="C17" s="21" t="s">
        <v>439</v>
      </c>
      <c r="D17" s="113"/>
      <c r="G17" s="108"/>
      <c r="H17" s="72">
        <f>IF(D17&gt;=0.1, B17*Références!B161/D17, IF(D17="", B17*Références!B161,""))</f>
        <v>0</v>
      </c>
      <c r="I17" s="180"/>
    </row>
    <row r="18" spans="1:9" ht="21" x14ac:dyDescent="0.25">
      <c r="A18" s="21" t="s">
        <v>394</v>
      </c>
      <c r="B18" s="28"/>
      <c r="C18" s="21" t="s">
        <v>439</v>
      </c>
      <c r="D18" s="113"/>
      <c r="G18" s="108"/>
      <c r="H18" s="72">
        <f>IF(D18&gt;=0.1, B18*Références!B162/D18, IF(D18="", B18*Références!B162,""))</f>
        <v>0</v>
      </c>
      <c r="I18" s="180"/>
    </row>
    <row r="19" spans="1:9" ht="20" thickBot="1" x14ac:dyDescent="0.3">
      <c r="A19" s="27" t="s">
        <v>430</v>
      </c>
      <c r="B19" s="28"/>
      <c r="C19" s="27" t="s">
        <v>439</v>
      </c>
      <c r="D19" s="113"/>
      <c r="F19" s="6"/>
      <c r="G19" s="6"/>
      <c r="H19" s="78">
        <f>IF(D19&gt;=0.1, B19*Références!B163/D19, IF(D19="", B19*Références!B163,""))</f>
        <v>0</v>
      </c>
      <c r="I19" s="182"/>
    </row>
    <row r="20" spans="1:9" x14ac:dyDescent="0.2">
      <c r="B20" s="125"/>
      <c r="D20" s="125"/>
      <c r="E20" s="125"/>
    </row>
  </sheetData>
  <sheetProtection algorithmName="SHA-512" hashValue="QHBN0O6vSZJSuetajx6ZdtL+K8UopFRlz3/VnbJqxbNi+NBY6uTxPhI4AFZtDtdf3tR64o7MS5jd2LZY+F8kxg==" saltValue="B1Ri2ZYjYtCTuaJVXKrzWg==" spinCount="100000" sheet="1" objects="1" scenarios="1"/>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36AD-AD45-3D41-A4E7-2930C9FE1B63}">
  <sheetPr>
    <tabColor theme="7"/>
  </sheetPr>
  <dimension ref="A1:Z85"/>
  <sheetViews>
    <sheetView topLeftCell="A56" workbookViewId="0">
      <selection activeCell="H86" sqref="H86"/>
    </sheetView>
  </sheetViews>
  <sheetFormatPr baseColWidth="10" defaultRowHeight="16" x14ac:dyDescent="0.2"/>
  <cols>
    <col min="1" max="1" width="55.6640625" customWidth="1"/>
    <col min="2" max="2" width="13.5" customWidth="1"/>
    <col min="3" max="3" width="31.5" customWidth="1"/>
    <col min="4" max="4" width="26.83203125" customWidth="1"/>
    <col min="8" max="8" width="20.83203125" customWidth="1"/>
    <col min="9" max="9" width="45.33203125" customWidth="1"/>
    <col min="10" max="10" width="50.33203125" customWidth="1"/>
    <col min="15" max="15" width="32.6640625" customWidth="1"/>
    <col min="18" max="18" width="40.1640625" customWidth="1"/>
    <col min="19" max="19" width="35.5" customWidth="1"/>
    <col min="20" max="20" width="22.1640625" customWidth="1"/>
    <col min="21" max="21" width="19.5" hidden="1" customWidth="1"/>
    <col min="22" max="22" width="41.1640625" customWidth="1"/>
    <col min="26" max="26" width="28" customWidth="1"/>
    <col min="27" max="27" width="33.83203125" customWidth="1"/>
  </cols>
  <sheetData>
    <row r="1" spans="1:26" ht="43" customHeight="1" thickBot="1" x14ac:dyDescent="0.25"/>
    <row r="2" spans="1:26" ht="20" thickBot="1" x14ac:dyDescent="0.3">
      <c r="A2" s="87" t="s">
        <v>485</v>
      </c>
      <c r="B2" s="68"/>
      <c r="C2" s="67" t="s">
        <v>87</v>
      </c>
      <c r="D2" s="67" t="s">
        <v>317</v>
      </c>
      <c r="E2" s="68"/>
      <c r="F2" s="68"/>
      <c r="G2" s="68"/>
      <c r="H2" s="89" t="s">
        <v>216</v>
      </c>
      <c r="I2" s="200" t="s">
        <v>564</v>
      </c>
      <c r="J2" s="232"/>
      <c r="K2" s="21"/>
      <c r="L2" s="21"/>
      <c r="M2" s="21"/>
      <c r="N2" s="72"/>
      <c r="O2" s="21"/>
      <c r="P2" s="21"/>
      <c r="Q2" s="21"/>
      <c r="R2" s="21"/>
      <c r="S2" s="21"/>
      <c r="T2" s="21"/>
      <c r="U2" s="21"/>
      <c r="V2" s="21"/>
      <c r="W2" s="21"/>
      <c r="X2" s="21"/>
      <c r="Y2" s="21"/>
      <c r="Z2" s="21"/>
    </row>
    <row r="3" spans="1:26" ht="19" x14ac:dyDescent="0.25">
      <c r="A3" s="91" t="s">
        <v>407</v>
      </c>
      <c r="B3" s="113"/>
      <c r="C3" s="21" t="s">
        <v>439</v>
      </c>
      <c r="D3" s="113"/>
      <c r="H3" s="74">
        <f>IF(D3&gt;=0.1, B3*Références!B193/D3, IF(D3="", B3*Références!B193,""))</f>
        <v>0</v>
      </c>
      <c r="I3" s="180"/>
      <c r="J3" s="232"/>
      <c r="K3" s="21"/>
      <c r="L3" s="21"/>
      <c r="M3" s="21"/>
      <c r="N3" s="72"/>
      <c r="O3" s="21"/>
      <c r="P3" s="21"/>
      <c r="Q3" s="21"/>
      <c r="R3" s="21"/>
      <c r="S3" s="21"/>
      <c r="T3" s="21"/>
      <c r="U3" s="21"/>
      <c r="V3" s="21"/>
      <c r="W3" s="21"/>
      <c r="X3" s="21"/>
      <c r="Y3" s="21"/>
      <c r="Z3" s="21"/>
    </row>
    <row r="4" spans="1:26" ht="19" x14ac:dyDescent="0.25">
      <c r="A4" s="91" t="s">
        <v>408</v>
      </c>
      <c r="B4" s="113"/>
      <c r="C4" s="21" t="s">
        <v>439</v>
      </c>
      <c r="D4" s="113"/>
      <c r="H4" s="74">
        <f>IF(D4&gt;=0.1, B4*Références!B194/D4, IF(D4="", B4*Références!B194,""))</f>
        <v>0</v>
      </c>
      <c r="I4" s="180"/>
      <c r="J4" s="232"/>
      <c r="K4" s="21"/>
      <c r="L4" s="21"/>
      <c r="M4" s="21"/>
      <c r="N4" s="72"/>
      <c r="O4" s="21"/>
      <c r="P4" s="21"/>
      <c r="Q4" s="21"/>
      <c r="R4" s="21"/>
      <c r="S4" s="21"/>
      <c r="T4" s="21"/>
      <c r="U4" s="21"/>
      <c r="V4" s="21"/>
      <c r="W4" s="21"/>
      <c r="X4" s="21"/>
      <c r="Y4" s="21"/>
      <c r="Z4" s="21"/>
    </row>
    <row r="5" spans="1:26" ht="19" x14ac:dyDescent="0.25">
      <c r="A5" s="91" t="s">
        <v>488</v>
      </c>
      <c r="B5" s="113"/>
      <c r="C5" s="21" t="s">
        <v>439</v>
      </c>
      <c r="D5" s="113"/>
      <c r="H5" s="74">
        <f>IF(D5&gt;=0.1, B5*Références!B195/D5, IF(D5="", B5*Références!B195,""))</f>
        <v>0</v>
      </c>
      <c r="I5" s="180"/>
      <c r="J5" s="232"/>
      <c r="K5" s="21"/>
      <c r="L5" s="21"/>
      <c r="M5" s="21"/>
      <c r="N5" s="72"/>
      <c r="O5" s="21"/>
      <c r="P5" s="21"/>
      <c r="Q5" s="21"/>
      <c r="R5" s="21"/>
      <c r="S5" s="21"/>
      <c r="T5" s="21"/>
      <c r="U5" s="21"/>
      <c r="V5" s="21"/>
      <c r="W5" s="21"/>
      <c r="X5" s="21"/>
      <c r="Y5" s="21"/>
      <c r="Z5" s="21"/>
    </row>
    <row r="6" spans="1:26" ht="19" x14ac:dyDescent="0.25">
      <c r="A6" s="91" t="s">
        <v>489</v>
      </c>
      <c r="B6" s="113"/>
      <c r="C6" s="21" t="s">
        <v>439</v>
      </c>
      <c r="D6" s="113"/>
      <c r="H6" s="74">
        <f>IF(D6&gt;=0.1, B6*Références!B196/D6, IF(D6="", B6*Références!B196,""))</f>
        <v>0</v>
      </c>
      <c r="I6" s="180"/>
      <c r="J6" s="232"/>
      <c r="K6" s="21"/>
      <c r="L6" s="21"/>
      <c r="M6" s="21"/>
      <c r="N6" s="72"/>
      <c r="O6" s="21"/>
      <c r="P6" s="21"/>
      <c r="Q6" s="21"/>
      <c r="R6" s="21"/>
      <c r="S6" s="21"/>
      <c r="T6" s="21"/>
      <c r="U6" s="21"/>
      <c r="V6" s="21"/>
      <c r="W6" s="21"/>
      <c r="X6" s="21"/>
      <c r="Y6" s="21"/>
      <c r="Z6" s="21"/>
    </row>
    <row r="7" spans="1:26" ht="19" x14ac:dyDescent="0.25">
      <c r="A7" s="91" t="s">
        <v>411</v>
      </c>
      <c r="B7" s="113"/>
      <c r="C7" s="21" t="s">
        <v>439</v>
      </c>
      <c r="D7" s="113"/>
      <c r="H7" s="74">
        <f>IF(D7&gt;=0.1, B7*Références!B197/D7, IF(D7="", B7*Références!B197,""))</f>
        <v>0</v>
      </c>
      <c r="I7" s="180"/>
      <c r="J7" s="232"/>
      <c r="K7" s="21"/>
      <c r="L7" s="21"/>
      <c r="M7" s="21"/>
      <c r="N7" s="72"/>
      <c r="O7" s="21"/>
      <c r="P7" s="21"/>
      <c r="Q7" s="21"/>
      <c r="R7" s="21"/>
      <c r="S7" s="21"/>
      <c r="T7" s="21"/>
      <c r="U7" s="21"/>
      <c r="V7" s="21"/>
      <c r="W7" s="21"/>
      <c r="X7" s="21"/>
      <c r="Y7" s="21"/>
      <c r="Z7" s="21"/>
    </row>
    <row r="8" spans="1:26" ht="19" x14ac:dyDescent="0.25">
      <c r="A8" s="91" t="s">
        <v>412</v>
      </c>
      <c r="B8" s="113"/>
      <c r="C8" s="21" t="s">
        <v>439</v>
      </c>
      <c r="D8" s="113"/>
      <c r="H8" s="74">
        <f>IF(D8&gt;=0.1, B8*Références!B198/D8, IF(D8="", B8*Références!B198,""))</f>
        <v>0</v>
      </c>
      <c r="I8" s="180"/>
      <c r="J8" s="232"/>
      <c r="K8" s="21"/>
      <c r="L8" s="21"/>
      <c r="M8" s="21"/>
      <c r="N8" s="72"/>
      <c r="O8" s="21"/>
      <c r="P8" s="21"/>
      <c r="Q8" s="21"/>
      <c r="R8" s="21"/>
      <c r="S8" s="21"/>
      <c r="T8" s="21"/>
      <c r="U8" s="21"/>
      <c r="V8" s="21"/>
      <c r="W8" s="21"/>
      <c r="X8" s="21"/>
      <c r="Y8" s="21"/>
      <c r="Z8" s="21"/>
    </row>
    <row r="9" spans="1:26" ht="19" x14ac:dyDescent="0.25">
      <c r="A9" s="91" t="s">
        <v>413</v>
      </c>
      <c r="B9" s="113"/>
      <c r="C9" s="21" t="s">
        <v>439</v>
      </c>
      <c r="D9" s="113"/>
      <c r="H9" s="74">
        <f>IF(D9&gt;=0.1, B9*Références!B199/D9, IF(D9="", B9*Références!B199,""))</f>
        <v>0</v>
      </c>
      <c r="I9" s="180"/>
      <c r="J9" s="232"/>
      <c r="K9" s="21"/>
      <c r="L9" s="21"/>
      <c r="M9" s="21"/>
      <c r="N9" s="72"/>
      <c r="O9" s="21"/>
      <c r="P9" s="21"/>
      <c r="Q9" s="21"/>
      <c r="R9" s="21"/>
      <c r="S9" s="21"/>
      <c r="T9" s="21"/>
      <c r="U9" s="21"/>
      <c r="V9" s="21"/>
      <c r="W9" s="21"/>
      <c r="X9" s="21"/>
      <c r="Y9" s="21"/>
      <c r="Z9" s="21"/>
    </row>
    <row r="10" spans="1:26" ht="19" x14ac:dyDescent="0.25">
      <c r="A10" s="91" t="s">
        <v>414</v>
      </c>
      <c r="B10" s="113"/>
      <c r="C10" s="21" t="s">
        <v>439</v>
      </c>
      <c r="D10" s="113"/>
      <c r="H10" s="74">
        <f>IF(D10&gt;=0.1, B10*Références!B200/D10, IF(D10="", B10*Références!B200,""))</f>
        <v>0</v>
      </c>
      <c r="I10" s="180"/>
      <c r="J10" s="232"/>
      <c r="K10" s="21"/>
      <c r="L10" s="21"/>
      <c r="M10" s="21"/>
      <c r="N10" s="72"/>
      <c r="O10" s="21"/>
      <c r="P10" s="21"/>
      <c r="Q10" s="21"/>
      <c r="R10" s="21"/>
      <c r="S10" s="21"/>
      <c r="T10" s="21"/>
      <c r="U10" s="21"/>
      <c r="V10" s="21"/>
      <c r="W10" s="21"/>
      <c r="X10" s="21"/>
      <c r="Y10" s="21"/>
      <c r="Z10" s="21"/>
    </row>
    <row r="11" spans="1:26" ht="19" x14ac:dyDescent="0.25">
      <c r="A11" s="90" t="s">
        <v>487</v>
      </c>
      <c r="B11" s="113"/>
      <c r="C11" s="21" t="s">
        <v>439</v>
      </c>
      <c r="D11" s="113"/>
      <c r="H11" s="74">
        <f>IF(D11&gt;=0.1, B11*Références!B201/D11, IF(D11="", B11*Références!B201,""))</f>
        <v>0</v>
      </c>
      <c r="I11" s="180"/>
      <c r="J11" s="232"/>
      <c r="K11" s="21"/>
      <c r="L11" s="21"/>
      <c r="M11" s="21"/>
      <c r="N11" s="72"/>
      <c r="O11" s="21"/>
      <c r="P11" s="21"/>
      <c r="Q11" s="21"/>
      <c r="R11" s="21"/>
      <c r="S11" s="21"/>
      <c r="T11" s="21"/>
      <c r="U11" s="21"/>
      <c r="V11" s="21"/>
      <c r="W11" s="21"/>
      <c r="X11" s="21"/>
      <c r="Y11" s="21"/>
      <c r="Z11" s="21"/>
    </row>
    <row r="12" spans="1:26" ht="19" x14ac:dyDescent="0.25">
      <c r="A12" s="91" t="s">
        <v>486</v>
      </c>
      <c r="B12" s="113"/>
      <c r="C12" s="21" t="s">
        <v>439</v>
      </c>
      <c r="D12" s="113"/>
      <c r="H12" s="74">
        <f>IF(D12&gt;=0.1, B12*Références!B202/D12, IF(D12="", B12*Références!B202,""))</f>
        <v>0</v>
      </c>
      <c r="I12" s="180"/>
      <c r="J12" s="232"/>
      <c r="K12" s="21"/>
      <c r="L12" s="21"/>
      <c r="M12" s="21"/>
      <c r="N12" s="72"/>
      <c r="O12" s="21"/>
      <c r="P12" s="21"/>
      <c r="Q12" s="21"/>
      <c r="R12" s="21"/>
      <c r="S12" s="21"/>
      <c r="T12" s="21"/>
      <c r="U12" s="21"/>
      <c r="V12" s="21"/>
      <c r="W12" s="21"/>
      <c r="X12" s="21"/>
      <c r="Y12" s="21"/>
      <c r="Z12" s="21"/>
    </row>
    <row r="13" spans="1:26" ht="20" thickBot="1" x14ac:dyDescent="0.3">
      <c r="H13" s="14"/>
      <c r="I13" s="195"/>
      <c r="J13" s="232"/>
      <c r="K13" s="21"/>
      <c r="L13" s="21"/>
      <c r="M13" s="21"/>
      <c r="N13" s="72"/>
      <c r="O13" s="21"/>
      <c r="P13" s="21"/>
      <c r="Q13" s="21"/>
      <c r="R13" s="21"/>
      <c r="S13" s="21"/>
      <c r="T13" s="21"/>
      <c r="U13" s="21"/>
      <c r="V13" s="21"/>
      <c r="W13" s="21"/>
      <c r="X13" s="21"/>
      <c r="Y13" s="21"/>
      <c r="Z13" s="21"/>
    </row>
    <row r="14" spans="1:26" ht="20" thickBot="1" x14ac:dyDescent="0.3">
      <c r="A14" s="256" t="s">
        <v>242</v>
      </c>
      <c r="B14" s="257"/>
      <c r="C14" s="257"/>
      <c r="D14" s="257"/>
      <c r="E14" s="257"/>
      <c r="F14" s="257"/>
      <c r="G14" s="257"/>
      <c r="H14" s="258"/>
      <c r="I14" s="282" t="s">
        <v>564</v>
      </c>
      <c r="J14" s="232"/>
      <c r="K14" s="21"/>
      <c r="L14" s="21"/>
      <c r="M14" s="21"/>
      <c r="N14" s="72"/>
      <c r="O14" s="21"/>
      <c r="P14" s="21"/>
      <c r="Q14" s="21"/>
      <c r="R14" s="21"/>
      <c r="S14" s="21"/>
      <c r="T14" s="21"/>
      <c r="U14" s="21"/>
      <c r="V14" s="21"/>
      <c r="W14" s="21"/>
      <c r="X14" s="21"/>
      <c r="Y14" s="21"/>
      <c r="Z14" s="21"/>
    </row>
    <row r="15" spans="1:26" ht="20" thickBot="1" x14ac:dyDescent="0.3">
      <c r="A15" s="71" t="s">
        <v>242</v>
      </c>
      <c r="B15" s="114"/>
      <c r="C15" s="53" t="s">
        <v>87</v>
      </c>
      <c r="D15" s="114"/>
      <c r="E15" s="114"/>
      <c r="F15" s="114"/>
      <c r="G15" s="114"/>
      <c r="H15" s="102" t="s">
        <v>243</v>
      </c>
      <c r="I15" s="283"/>
      <c r="J15" s="232"/>
      <c r="K15" s="21"/>
      <c r="L15" s="21"/>
      <c r="M15" s="21"/>
      <c r="N15" s="72"/>
      <c r="O15" s="21"/>
      <c r="P15" s="21"/>
      <c r="Q15" s="21"/>
      <c r="R15" s="21"/>
      <c r="S15" s="21"/>
      <c r="T15" s="21"/>
      <c r="U15" s="21"/>
      <c r="V15" s="21"/>
      <c r="W15" s="21"/>
      <c r="X15" s="21"/>
      <c r="Y15" s="21"/>
      <c r="Z15" s="21"/>
    </row>
    <row r="16" spans="1:26" ht="20" thickBot="1" x14ac:dyDescent="0.3">
      <c r="A16" s="61" t="s">
        <v>244</v>
      </c>
      <c r="B16" s="58"/>
      <c r="C16" s="58"/>
      <c r="D16" s="66"/>
      <c r="E16" s="66"/>
      <c r="F16" s="66"/>
      <c r="G16" s="66"/>
      <c r="H16" s="60"/>
      <c r="I16" s="284"/>
      <c r="J16" s="232"/>
      <c r="K16" s="21"/>
      <c r="L16" s="21"/>
      <c r="M16" s="21"/>
      <c r="N16" s="72"/>
      <c r="O16" s="21"/>
      <c r="P16" s="21"/>
      <c r="Q16" s="21"/>
      <c r="R16" s="21"/>
      <c r="S16" s="21"/>
      <c r="T16" s="21"/>
      <c r="U16" s="21"/>
      <c r="V16" s="21"/>
      <c r="W16" s="21"/>
      <c r="X16" s="21"/>
      <c r="Y16" s="21"/>
      <c r="Z16" s="21"/>
    </row>
    <row r="17" spans="1:26" ht="19" x14ac:dyDescent="0.25">
      <c r="A17" s="48" t="s">
        <v>248</v>
      </c>
      <c r="B17" s="113"/>
      <c r="C17" s="21" t="s">
        <v>433</v>
      </c>
      <c r="D17" s="21"/>
      <c r="E17" s="21"/>
      <c r="F17" s="21"/>
      <c r="G17" s="21"/>
      <c r="H17" s="74">
        <f>B17*1.746/1000</f>
        <v>0</v>
      </c>
      <c r="I17" s="181"/>
      <c r="J17" s="232"/>
      <c r="K17" s="21"/>
      <c r="L17" s="21"/>
      <c r="M17" s="21"/>
      <c r="N17" s="72"/>
      <c r="O17" s="21"/>
      <c r="P17" s="21"/>
      <c r="Q17" s="21"/>
      <c r="R17" s="21"/>
      <c r="S17" s="21"/>
      <c r="T17" s="21"/>
      <c r="U17" s="21"/>
      <c r="V17" s="21"/>
      <c r="W17" s="21"/>
      <c r="X17" s="21"/>
      <c r="Y17" s="21"/>
      <c r="Z17" s="21"/>
    </row>
    <row r="18" spans="1:26" ht="19" x14ac:dyDescent="0.25">
      <c r="A18" s="48" t="s">
        <v>249</v>
      </c>
      <c r="B18" s="113"/>
      <c r="C18" s="21" t="s">
        <v>433</v>
      </c>
      <c r="D18" s="21"/>
      <c r="E18" s="21"/>
      <c r="F18" s="21"/>
      <c r="G18" s="21"/>
      <c r="H18" s="74">
        <f>B18*2.136/1000</f>
        <v>0</v>
      </c>
      <c r="I18" s="180"/>
      <c r="J18" s="232"/>
      <c r="K18" s="21"/>
      <c r="L18" s="21"/>
      <c r="M18" s="21"/>
      <c r="N18" s="72"/>
      <c r="O18" s="21"/>
      <c r="P18" s="21"/>
      <c r="Q18" s="21"/>
      <c r="R18" s="21"/>
      <c r="S18" s="21"/>
      <c r="T18" s="21"/>
      <c r="U18" s="21"/>
      <c r="V18" s="21"/>
      <c r="W18" s="21"/>
      <c r="X18" s="21"/>
      <c r="Y18" s="21"/>
      <c r="Z18" s="21"/>
    </row>
    <row r="19" spans="1:26" ht="19" x14ac:dyDescent="0.25">
      <c r="A19" s="48" t="s">
        <v>250</v>
      </c>
      <c r="B19" s="113"/>
      <c r="C19" s="21" t="s">
        <v>433</v>
      </c>
      <c r="D19" s="21"/>
      <c r="E19" s="21"/>
      <c r="F19" s="21"/>
      <c r="G19" s="21"/>
      <c r="H19" s="74">
        <f>B19*1.502/1000</f>
        <v>0</v>
      </c>
      <c r="I19" s="180"/>
      <c r="J19" s="232"/>
      <c r="K19" s="21"/>
      <c r="L19" s="21"/>
      <c r="M19" s="21"/>
      <c r="N19" s="72"/>
      <c r="O19" s="21"/>
      <c r="P19" s="21"/>
      <c r="Q19" s="21"/>
      <c r="R19" s="21"/>
      <c r="S19" s="21"/>
      <c r="T19" s="21"/>
      <c r="U19" s="21"/>
      <c r="V19" s="21"/>
      <c r="W19" s="21"/>
      <c r="X19" s="21"/>
      <c r="Y19" s="21"/>
      <c r="Z19" s="21"/>
    </row>
    <row r="20" spans="1:26" ht="19" x14ac:dyDescent="0.25">
      <c r="A20" s="48" t="s">
        <v>251</v>
      </c>
      <c r="B20" s="113"/>
      <c r="C20" s="21" t="s">
        <v>433</v>
      </c>
      <c r="D20" s="21"/>
      <c r="E20" s="21"/>
      <c r="F20" s="21"/>
      <c r="G20" s="21"/>
      <c r="H20" s="74">
        <f>B20*1.142/1000</f>
        <v>0</v>
      </c>
      <c r="I20" s="180"/>
      <c r="J20" s="232"/>
      <c r="K20" s="21"/>
      <c r="L20" s="21"/>
      <c r="M20" s="21"/>
      <c r="N20" s="72"/>
      <c r="O20" s="21"/>
      <c r="P20" s="21"/>
      <c r="Q20" s="21"/>
      <c r="R20" s="21"/>
      <c r="S20" s="21"/>
      <c r="T20" s="21"/>
      <c r="U20" s="21"/>
      <c r="V20" s="21"/>
      <c r="W20" s="21"/>
      <c r="X20" s="21"/>
      <c r="Y20" s="21"/>
      <c r="Z20" s="21"/>
    </row>
    <row r="21" spans="1:26" ht="19" x14ac:dyDescent="0.25">
      <c r="A21" s="48" t="s">
        <v>252</v>
      </c>
      <c r="B21" s="113"/>
      <c r="C21" s="21" t="s">
        <v>433</v>
      </c>
      <c r="D21" s="21"/>
      <c r="E21" s="21"/>
      <c r="F21" s="21"/>
      <c r="G21" s="21"/>
      <c r="H21" s="74">
        <f>B21*1.499/1000</f>
        <v>0</v>
      </c>
      <c r="I21" s="180"/>
      <c r="J21" s="232"/>
      <c r="K21" s="21"/>
      <c r="L21" s="21"/>
      <c r="M21" s="21"/>
      <c r="N21" s="72"/>
      <c r="O21" s="21"/>
      <c r="P21" s="21"/>
      <c r="Q21" s="21"/>
      <c r="R21" s="21"/>
      <c r="S21" s="21"/>
      <c r="T21" s="21"/>
      <c r="U21" s="21"/>
      <c r="V21" s="21"/>
      <c r="W21" s="21"/>
      <c r="X21" s="21"/>
      <c r="Y21" s="21"/>
      <c r="Z21" s="21"/>
    </row>
    <row r="22" spans="1:26" ht="19" x14ac:dyDescent="0.25">
      <c r="A22" s="48" t="s">
        <v>253</v>
      </c>
      <c r="B22" s="113"/>
      <c r="C22" s="21" t="s">
        <v>433</v>
      </c>
      <c r="D22" s="21"/>
      <c r="E22" s="21"/>
      <c r="F22" s="21"/>
      <c r="G22" s="21"/>
      <c r="H22" s="74">
        <f>B22*2.035/1000</f>
        <v>0</v>
      </c>
      <c r="I22" s="180"/>
      <c r="J22" s="232"/>
      <c r="K22" s="21"/>
      <c r="L22" s="21"/>
      <c r="M22" s="21"/>
      <c r="N22" s="72"/>
      <c r="O22" s="21"/>
      <c r="P22" s="21"/>
      <c r="Q22" s="21"/>
      <c r="R22" s="21"/>
      <c r="S22" s="21"/>
      <c r="T22" s="21"/>
      <c r="U22" s="21"/>
      <c r="V22" s="21"/>
      <c r="W22" s="21"/>
      <c r="X22" s="21"/>
      <c r="Y22" s="21"/>
      <c r="Z22" s="21"/>
    </row>
    <row r="23" spans="1:26" ht="19" x14ac:dyDescent="0.25">
      <c r="A23" s="48" t="s">
        <v>256</v>
      </c>
      <c r="B23" s="113"/>
      <c r="C23" s="21" t="s">
        <v>433</v>
      </c>
      <c r="D23" s="21"/>
      <c r="E23" s="21"/>
      <c r="F23" s="21"/>
      <c r="G23" s="21"/>
      <c r="H23" s="74">
        <f>B23*0.261/1000</f>
        <v>0</v>
      </c>
      <c r="I23" s="180"/>
      <c r="J23" s="232"/>
      <c r="K23" s="21"/>
      <c r="L23" s="21"/>
      <c r="M23" s="21"/>
      <c r="N23" s="72"/>
      <c r="O23" s="21"/>
      <c r="P23" s="21"/>
      <c r="Q23" s="21"/>
      <c r="R23" s="21"/>
      <c r="S23" s="21"/>
      <c r="T23" s="21"/>
      <c r="U23" s="21"/>
      <c r="V23" s="21"/>
      <c r="W23" s="21"/>
      <c r="X23" s="21"/>
      <c r="Y23" s="21"/>
      <c r="Z23" s="21"/>
    </row>
    <row r="24" spans="1:26" ht="19" x14ac:dyDescent="0.25">
      <c r="A24" s="48" t="s">
        <v>255</v>
      </c>
      <c r="B24" s="113"/>
      <c r="C24" s="21" t="s">
        <v>433</v>
      </c>
      <c r="D24" s="21"/>
      <c r="E24" s="21"/>
      <c r="F24" s="21"/>
      <c r="G24" s="21"/>
      <c r="H24" s="74">
        <f>B24*0.569/1000</f>
        <v>0</v>
      </c>
      <c r="I24" s="180"/>
      <c r="J24" s="232"/>
      <c r="K24" s="21"/>
      <c r="L24" s="21"/>
      <c r="M24" s="21"/>
      <c r="N24" s="72"/>
      <c r="O24" s="21"/>
      <c r="P24" s="21"/>
      <c r="Q24" s="21"/>
      <c r="R24" s="21"/>
      <c r="S24" s="21"/>
      <c r="T24" s="21"/>
      <c r="U24" s="21"/>
      <c r="V24" s="21"/>
      <c r="W24" s="21"/>
      <c r="X24" s="21"/>
      <c r="Y24" s="21"/>
      <c r="Z24" s="21"/>
    </row>
    <row r="25" spans="1:26" ht="19" x14ac:dyDescent="0.25">
      <c r="A25" s="48" t="s">
        <v>254</v>
      </c>
      <c r="B25" s="113"/>
      <c r="C25" s="21" t="s">
        <v>433</v>
      </c>
      <c r="D25" s="21"/>
      <c r="E25" s="21"/>
      <c r="F25" s="21"/>
      <c r="G25" s="21"/>
      <c r="H25" s="74">
        <f>B25*0.488/1000</f>
        <v>0</v>
      </c>
      <c r="I25" s="180"/>
      <c r="J25" s="232"/>
      <c r="K25" s="21"/>
      <c r="L25" s="21"/>
      <c r="M25" s="21"/>
      <c r="N25" s="72"/>
      <c r="O25" s="21"/>
      <c r="P25" s="21"/>
      <c r="Q25" s="21"/>
      <c r="R25" s="21"/>
      <c r="S25" s="21"/>
      <c r="T25" s="21"/>
      <c r="U25" s="21"/>
      <c r="V25" s="21"/>
      <c r="W25" s="21"/>
      <c r="X25" s="21"/>
      <c r="Y25" s="21"/>
      <c r="Z25" s="21"/>
    </row>
    <row r="26" spans="1:26" ht="19" x14ac:dyDescent="0.25">
      <c r="A26" s="48" t="s">
        <v>271</v>
      </c>
      <c r="B26" s="113"/>
      <c r="C26" s="21" t="s">
        <v>433</v>
      </c>
      <c r="D26" s="21"/>
      <c r="E26" s="21"/>
      <c r="F26" s="21"/>
      <c r="G26" s="21"/>
      <c r="H26" s="74">
        <f>B26*0.36/1000</f>
        <v>0</v>
      </c>
      <c r="I26" s="180"/>
      <c r="J26" s="232"/>
      <c r="K26" s="21"/>
      <c r="L26" s="21"/>
      <c r="M26" s="21"/>
      <c r="N26" s="72"/>
      <c r="O26" s="21"/>
      <c r="P26" s="21"/>
      <c r="Q26" s="21"/>
      <c r="R26" s="21"/>
      <c r="S26" s="21"/>
      <c r="T26" s="21"/>
      <c r="U26" s="21"/>
      <c r="V26" s="21"/>
      <c r="W26" s="21"/>
      <c r="X26" s="21"/>
      <c r="Y26" s="21"/>
      <c r="Z26" s="21"/>
    </row>
    <row r="27" spans="1:26" ht="19" x14ac:dyDescent="0.25">
      <c r="A27" s="48" t="s">
        <v>272</v>
      </c>
      <c r="B27" s="113"/>
      <c r="C27" s="21" t="s">
        <v>433</v>
      </c>
      <c r="D27" s="21"/>
      <c r="E27" s="21"/>
      <c r="F27" s="21"/>
      <c r="G27" s="21"/>
      <c r="H27" s="74">
        <f>B27*0.293/1000</f>
        <v>0</v>
      </c>
      <c r="I27" s="180"/>
      <c r="J27" s="232"/>
      <c r="K27" s="21"/>
      <c r="L27" s="21"/>
      <c r="M27" s="21"/>
      <c r="N27" s="72"/>
      <c r="O27" s="21"/>
      <c r="P27" s="21"/>
      <c r="Q27" s="21"/>
      <c r="R27" s="21"/>
      <c r="S27" s="21"/>
      <c r="T27" s="21"/>
      <c r="U27" s="21"/>
      <c r="V27" s="21"/>
      <c r="W27" s="21"/>
      <c r="X27" s="21"/>
      <c r="Y27" s="21"/>
      <c r="Z27" s="21"/>
    </row>
    <row r="28" spans="1:26" ht="19" x14ac:dyDescent="0.25">
      <c r="A28" s="48" t="s">
        <v>273</v>
      </c>
      <c r="B28" s="113"/>
      <c r="C28" s="21" t="s">
        <v>433</v>
      </c>
      <c r="D28" s="21"/>
      <c r="E28" s="21"/>
      <c r="F28" s="21"/>
      <c r="G28" s="21"/>
      <c r="H28" s="74">
        <f>B28*0.28/1000</f>
        <v>0</v>
      </c>
      <c r="I28" s="180"/>
      <c r="J28" s="232"/>
      <c r="K28" s="21"/>
      <c r="L28" s="21"/>
      <c r="M28" s="21"/>
      <c r="N28" s="72"/>
      <c r="O28" s="21"/>
      <c r="P28" s="21"/>
      <c r="Q28" s="21"/>
      <c r="R28" s="21"/>
      <c r="S28" s="21"/>
      <c r="T28" s="21"/>
      <c r="U28" s="21"/>
      <c r="V28" s="21"/>
      <c r="W28" s="21"/>
      <c r="X28" s="21"/>
      <c r="Y28" s="21"/>
      <c r="Z28" s="21"/>
    </row>
    <row r="29" spans="1:26" ht="20" thickBot="1" x14ac:dyDescent="0.3">
      <c r="A29" s="26"/>
      <c r="B29" s="27"/>
      <c r="C29" s="21"/>
      <c r="D29" s="6"/>
      <c r="H29" s="14"/>
      <c r="I29" s="196"/>
      <c r="J29" s="232"/>
      <c r="K29" s="21"/>
      <c r="L29" s="21"/>
      <c r="M29" s="21"/>
      <c r="N29" s="72"/>
      <c r="O29" s="21"/>
      <c r="P29" s="21"/>
      <c r="Q29" s="21"/>
      <c r="R29" s="21"/>
      <c r="S29" s="21"/>
      <c r="T29" s="21"/>
      <c r="U29" s="21"/>
      <c r="V29" s="21"/>
      <c r="W29" s="21"/>
      <c r="X29" s="21"/>
      <c r="Y29" s="21"/>
      <c r="Z29" s="21"/>
    </row>
    <row r="30" spans="1:26" ht="20" thickBot="1" x14ac:dyDescent="0.3">
      <c r="A30" s="61" t="s">
        <v>257</v>
      </c>
      <c r="B30" s="62"/>
      <c r="C30" s="58" t="s">
        <v>87</v>
      </c>
      <c r="D30" s="66"/>
      <c r="E30" s="66"/>
      <c r="F30" s="66"/>
      <c r="G30" s="66"/>
      <c r="H30" s="59" t="s">
        <v>243</v>
      </c>
      <c r="I30" s="204" t="s">
        <v>564</v>
      </c>
      <c r="J30" s="232"/>
      <c r="K30" s="21"/>
      <c r="L30" s="21"/>
      <c r="M30" s="21"/>
      <c r="N30" s="72"/>
      <c r="O30" s="21"/>
      <c r="P30" s="21"/>
      <c r="Q30" s="21"/>
      <c r="R30" s="21"/>
      <c r="S30" s="21"/>
      <c r="T30" s="21"/>
      <c r="U30" s="21"/>
      <c r="V30" s="21"/>
      <c r="W30" s="21"/>
      <c r="X30" s="21"/>
      <c r="Y30" s="21"/>
      <c r="Z30" s="21"/>
    </row>
    <row r="31" spans="1:26" ht="19" x14ac:dyDescent="0.25">
      <c r="A31" s="48" t="s">
        <v>270</v>
      </c>
      <c r="B31" s="113"/>
      <c r="C31" s="21" t="s">
        <v>433</v>
      </c>
      <c r="H31" s="74">
        <f>B31*0.147/1000</f>
        <v>0</v>
      </c>
      <c r="I31" s="181"/>
      <c r="J31" s="232"/>
      <c r="K31" s="21"/>
      <c r="L31" s="21"/>
      <c r="M31" s="21"/>
      <c r="N31" s="72"/>
      <c r="O31" s="21"/>
      <c r="P31" s="21"/>
      <c r="Q31" s="21"/>
      <c r="R31" s="21"/>
      <c r="S31" s="21"/>
      <c r="T31" s="21"/>
      <c r="U31" s="21"/>
      <c r="V31" s="21"/>
      <c r="W31" s="21"/>
      <c r="X31" s="21"/>
      <c r="Y31" s="21"/>
      <c r="Z31" s="21"/>
    </row>
    <row r="32" spans="1:26" ht="19" x14ac:dyDescent="0.25">
      <c r="A32" s="48" t="s">
        <v>269</v>
      </c>
      <c r="B32" s="113"/>
      <c r="C32" s="21" t="s">
        <v>433</v>
      </c>
      <c r="H32" s="74">
        <f>B32*1.778/1000</f>
        <v>0</v>
      </c>
      <c r="I32" s="180"/>
      <c r="J32" s="232"/>
      <c r="K32" s="21"/>
      <c r="L32" s="21"/>
      <c r="M32" s="21"/>
      <c r="N32" s="72"/>
      <c r="O32" s="21"/>
      <c r="P32" s="21"/>
      <c r="Q32" s="21"/>
      <c r="R32" s="21"/>
      <c r="S32" s="21"/>
      <c r="T32" s="21"/>
      <c r="U32" s="21"/>
      <c r="V32" s="21"/>
      <c r="W32" s="21"/>
      <c r="X32" s="21"/>
      <c r="Y32" s="21"/>
      <c r="Z32" s="21"/>
    </row>
    <row r="33" spans="1:26" ht="19" x14ac:dyDescent="0.25">
      <c r="A33" s="48" t="s">
        <v>268</v>
      </c>
      <c r="B33" s="113"/>
      <c r="C33" s="21" t="s">
        <v>433</v>
      </c>
      <c r="H33" s="74">
        <f>B33*1.528/1000</f>
        <v>0</v>
      </c>
      <c r="I33" s="180"/>
      <c r="J33" s="232"/>
      <c r="K33" s="21"/>
      <c r="L33" s="21"/>
      <c r="M33" s="21"/>
      <c r="N33" s="72"/>
      <c r="O33" s="21"/>
      <c r="P33" s="21"/>
      <c r="Q33" s="21"/>
      <c r="R33" s="21"/>
      <c r="S33" s="21"/>
      <c r="T33" s="21"/>
      <c r="U33" s="21"/>
      <c r="V33" s="21"/>
      <c r="W33" s="21"/>
      <c r="X33" s="21"/>
      <c r="Y33" s="21"/>
      <c r="Z33" s="21"/>
    </row>
    <row r="34" spans="1:26" ht="19" x14ac:dyDescent="0.25">
      <c r="A34" s="48" t="s">
        <v>267</v>
      </c>
      <c r="B34" s="113"/>
      <c r="C34" s="21" t="s">
        <v>433</v>
      </c>
      <c r="H34" s="74">
        <f>B34*0.013/1000</f>
        <v>0</v>
      </c>
      <c r="I34" s="180"/>
      <c r="J34" s="232"/>
      <c r="K34" s="21"/>
      <c r="L34" s="21"/>
      <c r="M34" s="21"/>
      <c r="N34" s="72"/>
      <c r="O34" s="21"/>
      <c r="P34" s="21"/>
      <c r="Q34" s="21"/>
      <c r="R34" s="21"/>
      <c r="S34" s="21"/>
      <c r="T34" s="21"/>
      <c r="U34" s="21"/>
      <c r="V34" s="21"/>
      <c r="W34" s="21"/>
      <c r="X34" s="21"/>
      <c r="Y34" s="21"/>
      <c r="Z34" s="21"/>
    </row>
    <row r="35" spans="1:26" ht="19" x14ac:dyDescent="0.25">
      <c r="A35" s="48" t="s">
        <v>266</v>
      </c>
      <c r="B35" s="113"/>
      <c r="C35" s="21" t="s">
        <v>433</v>
      </c>
      <c r="H35" s="74">
        <f>B35*0.258/1000</f>
        <v>0</v>
      </c>
      <c r="I35" s="180"/>
      <c r="J35" s="232"/>
      <c r="K35" s="21"/>
      <c r="L35" s="21"/>
      <c r="M35" s="21"/>
      <c r="N35" s="72"/>
      <c r="O35" s="21"/>
      <c r="P35" s="21"/>
      <c r="Q35" s="21"/>
      <c r="R35" s="21"/>
      <c r="S35" s="21"/>
      <c r="T35" s="21"/>
      <c r="U35" s="21"/>
      <c r="V35" s="21"/>
      <c r="W35" s="21"/>
      <c r="X35" s="21"/>
      <c r="Y35" s="21"/>
      <c r="Z35" s="21"/>
    </row>
    <row r="36" spans="1:26" ht="19" x14ac:dyDescent="0.25">
      <c r="A36" s="48" t="s">
        <v>265</v>
      </c>
      <c r="B36" s="113"/>
      <c r="C36" s="21" t="s">
        <v>433</v>
      </c>
      <c r="H36" s="74">
        <f>B36*0.066/1000</f>
        <v>0</v>
      </c>
      <c r="I36" s="180"/>
      <c r="J36" s="232"/>
      <c r="K36" s="21"/>
      <c r="L36" s="21"/>
      <c r="M36" s="21"/>
      <c r="N36" s="72"/>
      <c r="O36" s="21"/>
      <c r="P36" s="21"/>
      <c r="Q36" s="21"/>
      <c r="R36" s="21"/>
      <c r="S36" s="21"/>
      <c r="T36" s="21"/>
      <c r="U36" s="21"/>
      <c r="V36" s="21"/>
      <c r="W36" s="21"/>
      <c r="X36" s="21"/>
      <c r="Y36" s="21"/>
      <c r="Z36" s="21"/>
    </row>
    <row r="37" spans="1:26" ht="19" x14ac:dyDescent="0.25">
      <c r="A37" s="48" t="s">
        <v>264</v>
      </c>
      <c r="B37" s="113"/>
      <c r="C37" s="21" t="s">
        <v>433</v>
      </c>
      <c r="H37" s="74">
        <f>B37*0.098/1000</f>
        <v>0</v>
      </c>
      <c r="I37" s="180"/>
      <c r="J37" s="232"/>
      <c r="K37" s="21"/>
      <c r="L37" s="21"/>
      <c r="M37" s="21"/>
      <c r="N37" s="72"/>
      <c r="O37" s="21"/>
      <c r="P37" s="21"/>
      <c r="Q37" s="21"/>
      <c r="R37" s="21"/>
      <c r="S37" s="21"/>
      <c r="T37" s="21"/>
      <c r="U37" s="21"/>
      <c r="V37" s="21"/>
      <c r="W37" s="21"/>
      <c r="X37" s="21"/>
      <c r="Y37" s="21"/>
      <c r="Z37" s="21"/>
    </row>
    <row r="38" spans="1:26" ht="19" x14ac:dyDescent="0.25">
      <c r="A38" s="48" t="s">
        <v>263</v>
      </c>
      <c r="B38" s="113"/>
      <c r="C38" s="21" t="s">
        <v>433</v>
      </c>
      <c r="H38" s="74">
        <f>B38*0.011/1000</f>
        <v>0</v>
      </c>
      <c r="I38" s="180"/>
      <c r="J38" s="232"/>
      <c r="K38" s="21"/>
      <c r="L38" s="21"/>
      <c r="M38" s="21"/>
      <c r="N38" s="72"/>
      <c r="O38" s="21"/>
      <c r="P38" s="21"/>
      <c r="Q38" s="21"/>
      <c r="R38" s="21"/>
      <c r="S38" s="21"/>
      <c r="T38" s="21"/>
      <c r="U38" s="21"/>
      <c r="V38" s="21"/>
      <c r="W38" s="21"/>
      <c r="X38" s="21"/>
      <c r="Y38" s="21"/>
      <c r="Z38" s="21"/>
    </row>
    <row r="39" spans="1:26" ht="19" x14ac:dyDescent="0.25">
      <c r="A39" s="48" t="s">
        <v>258</v>
      </c>
      <c r="B39" s="113"/>
      <c r="C39" s="21" t="s">
        <v>433</v>
      </c>
      <c r="H39" s="74">
        <f>B39*0.621/1000</f>
        <v>0</v>
      </c>
      <c r="I39" s="180"/>
      <c r="J39" s="232"/>
      <c r="K39" s="21"/>
      <c r="L39" s="21"/>
      <c r="M39" s="21"/>
      <c r="N39" s="72"/>
      <c r="O39" s="21"/>
      <c r="P39" s="21"/>
      <c r="Q39" s="21"/>
      <c r="R39" s="21"/>
      <c r="S39" s="21"/>
      <c r="T39" s="21"/>
      <c r="U39" s="21"/>
      <c r="V39" s="21"/>
      <c r="W39" s="21"/>
      <c r="X39" s="21"/>
      <c r="Y39" s="21"/>
      <c r="Z39" s="21"/>
    </row>
    <row r="40" spans="1:26" ht="19" x14ac:dyDescent="0.25">
      <c r="A40" s="48" t="s">
        <v>259</v>
      </c>
      <c r="B40" s="113"/>
      <c r="C40" s="21" t="s">
        <v>433</v>
      </c>
      <c r="H40" s="74">
        <f>B40*3.317/1000</f>
        <v>0</v>
      </c>
      <c r="I40" s="180"/>
      <c r="J40" s="232"/>
      <c r="K40" s="21"/>
      <c r="L40" s="21"/>
      <c r="M40" s="21"/>
      <c r="N40" s="72"/>
      <c r="O40" s="21"/>
      <c r="P40" s="21"/>
      <c r="Q40" s="21"/>
      <c r="R40" s="21"/>
      <c r="S40" s="21"/>
      <c r="T40" s="21"/>
      <c r="U40" s="21"/>
      <c r="V40" s="21"/>
      <c r="W40" s="21"/>
      <c r="X40" s="21"/>
      <c r="Y40" s="21"/>
      <c r="Z40" s="21"/>
    </row>
    <row r="41" spans="1:26" ht="19" x14ac:dyDescent="0.25">
      <c r="A41" s="48" t="s">
        <v>260</v>
      </c>
      <c r="B41" s="113"/>
      <c r="C41" s="21" t="s">
        <v>433</v>
      </c>
      <c r="H41" s="74">
        <f>B41*0.405/1000</f>
        <v>0</v>
      </c>
      <c r="I41" s="180"/>
      <c r="J41" s="232"/>
      <c r="K41" s="21"/>
      <c r="L41" s="21"/>
      <c r="M41" s="21"/>
      <c r="N41" s="72"/>
      <c r="O41" s="21"/>
      <c r="P41" s="21"/>
      <c r="Q41" s="21"/>
      <c r="R41" s="21"/>
      <c r="S41" s="21"/>
      <c r="T41" s="21"/>
      <c r="U41" s="21"/>
      <c r="V41" s="21"/>
      <c r="W41" s="21"/>
      <c r="X41" s="21"/>
      <c r="Y41" s="21"/>
      <c r="Z41" s="21"/>
    </row>
    <row r="42" spans="1:26" ht="19" x14ac:dyDescent="0.25">
      <c r="A42" s="48" t="s">
        <v>261</v>
      </c>
      <c r="B42" s="113"/>
      <c r="C42" s="21" t="s">
        <v>433</v>
      </c>
      <c r="H42" s="74">
        <f>B42*0.954/1000</f>
        <v>0</v>
      </c>
      <c r="I42" s="180"/>
      <c r="J42" s="232"/>
      <c r="K42" s="21"/>
      <c r="L42" s="21"/>
      <c r="M42" s="21"/>
      <c r="N42" s="72"/>
      <c r="O42" s="21"/>
      <c r="P42" s="21"/>
      <c r="Q42" s="21"/>
      <c r="R42" s="21"/>
      <c r="S42" s="21"/>
      <c r="T42" s="21"/>
      <c r="U42" s="21"/>
      <c r="V42" s="21"/>
      <c r="W42" s="21"/>
      <c r="X42" s="21"/>
      <c r="Y42" s="21"/>
      <c r="Z42" s="21"/>
    </row>
    <row r="43" spans="1:26" ht="19" x14ac:dyDescent="0.25">
      <c r="A43" s="48" t="s">
        <v>262</v>
      </c>
      <c r="B43" s="113"/>
      <c r="C43" s="21" t="s">
        <v>433</v>
      </c>
      <c r="H43" s="74">
        <f>B43*0.134/1000</f>
        <v>0</v>
      </c>
      <c r="I43" s="180"/>
      <c r="J43" s="232"/>
      <c r="K43" s="21"/>
      <c r="L43" s="21"/>
      <c r="M43" s="21"/>
      <c r="N43" s="72"/>
      <c r="O43" s="21"/>
      <c r="P43" s="21"/>
      <c r="Q43" s="21"/>
      <c r="R43" s="21"/>
      <c r="S43" s="21"/>
      <c r="T43" s="21"/>
      <c r="U43" s="21"/>
      <c r="V43" s="21"/>
      <c r="W43" s="21"/>
      <c r="X43" s="21"/>
      <c r="Y43" s="21"/>
      <c r="Z43" s="21"/>
    </row>
    <row r="44" spans="1:26" ht="20" thickBot="1" x14ac:dyDescent="0.3">
      <c r="A44" s="26"/>
      <c r="B44" s="27"/>
      <c r="C44" s="27"/>
      <c r="D44" s="6"/>
      <c r="H44" s="14"/>
      <c r="I44" s="195"/>
      <c r="J44" s="232"/>
      <c r="K44" s="21"/>
      <c r="L44" s="21"/>
      <c r="M44" s="21"/>
      <c r="N44" s="72"/>
      <c r="O44" s="21"/>
      <c r="P44" s="21"/>
      <c r="Q44" s="21"/>
      <c r="R44" s="21"/>
      <c r="S44" s="21"/>
      <c r="T44" s="21"/>
      <c r="U44" s="21"/>
      <c r="V44" s="21"/>
      <c r="W44" s="21"/>
      <c r="X44" s="21"/>
      <c r="Y44" s="21"/>
      <c r="Z44" s="21"/>
    </row>
    <row r="45" spans="1:26" ht="20" thickBot="1" x14ac:dyDescent="0.3">
      <c r="A45" s="61" t="s">
        <v>246</v>
      </c>
      <c r="B45" s="62"/>
      <c r="C45" s="58" t="s">
        <v>87</v>
      </c>
      <c r="D45" s="66"/>
      <c r="E45" s="66"/>
      <c r="F45" s="66"/>
      <c r="G45" s="66"/>
      <c r="H45" s="59" t="s">
        <v>243</v>
      </c>
      <c r="I45" s="198" t="s">
        <v>564</v>
      </c>
      <c r="J45" s="232"/>
      <c r="K45" s="21"/>
      <c r="L45" s="21"/>
      <c r="M45" s="21"/>
      <c r="N45" s="72"/>
      <c r="O45" s="21"/>
      <c r="P45" s="21"/>
      <c r="Q45" s="21"/>
      <c r="R45" s="21"/>
      <c r="S45" s="21"/>
      <c r="T45" s="21"/>
      <c r="U45" s="21"/>
      <c r="V45" s="21"/>
      <c r="W45" s="21"/>
      <c r="X45" s="21"/>
      <c r="Y45" s="21"/>
      <c r="Z45" s="21"/>
    </row>
    <row r="46" spans="1:26" ht="19" x14ac:dyDescent="0.25">
      <c r="A46" s="48" t="s">
        <v>274</v>
      </c>
      <c r="B46" s="113"/>
      <c r="C46" s="21" t="s">
        <v>433</v>
      </c>
      <c r="H46" s="74">
        <f>B46*Références!C106</f>
        <v>0</v>
      </c>
      <c r="I46" s="202"/>
      <c r="J46" s="232"/>
      <c r="K46" s="21"/>
      <c r="L46" s="21"/>
      <c r="M46" s="21"/>
      <c r="N46" s="72"/>
      <c r="O46" s="21"/>
      <c r="P46" s="21"/>
      <c r="Q46" s="21"/>
      <c r="R46" s="21"/>
      <c r="S46" s="21"/>
      <c r="T46" s="21"/>
      <c r="U46" s="21"/>
      <c r="V46" s="21"/>
      <c r="W46" s="21"/>
      <c r="X46" s="21"/>
      <c r="Y46" s="21"/>
      <c r="Z46" s="21"/>
    </row>
    <row r="47" spans="1:26" ht="19" x14ac:dyDescent="0.25">
      <c r="A47" s="48" t="s">
        <v>275</v>
      </c>
      <c r="B47" s="113"/>
      <c r="C47" s="21" t="s">
        <v>433</v>
      </c>
      <c r="H47" s="74">
        <f>B47*Références!C107</f>
        <v>0</v>
      </c>
      <c r="I47" s="201"/>
      <c r="J47" s="232"/>
      <c r="K47" s="21"/>
      <c r="L47" s="21"/>
      <c r="M47" s="21"/>
      <c r="N47" s="72"/>
      <c r="O47" s="21"/>
      <c r="P47" s="21"/>
      <c r="Q47" s="21"/>
      <c r="R47" s="21"/>
      <c r="S47" s="21"/>
      <c r="T47" s="21"/>
      <c r="U47" s="21"/>
      <c r="V47" s="21"/>
      <c r="W47" s="21"/>
      <c r="X47" s="21"/>
      <c r="Y47" s="21"/>
      <c r="Z47" s="21"/>
    </row>
    <row r="48" spans="1:26" ht="19" x14ac:dyDescent="0.25">
      <c r="A48" s="48" t="s">
        <v>276</v>
      </c>
      <c r="B48" s="113"/>
      <c r="C48" s="21" t="s">
        <v>433</v>
      </c>
      <c r="H48" s="74">
        <f>B48*Références!C108</f>
        <v>0</v>
      </c>
      <c r="I48" s="201"/>
      <c r="J48" s="232"/>
      <c r="K48" s="21"/>
      <c r="L48" s="21"/>
      <c r="M48" s="21"/>
      <c r="N48" s="72"/>
      <c r="O48" s="21"/>
      <c r="P48" s="21"/>
      <c r="Q48" s="21"/>
      <c r="R48" s="21"/>
      <c r="S48" s="21"/>
      <c r="T48" s="21"/>
      <c r="U48" s="21"/>
      <c r="V48" s="21"/>
      <c r="W48" s="21"/>
      <c r="X48" s="21"/>
      <c r="Y48" s="21"/>
      <c r="Z48" s="21"/>
    </row>
    <row r="49" spans="1:26" ht="19" x14ac:dyDescent="0.25">
      <c r="A49" s="48" t="s">
        <v>277</v>
      </c>
      <c r="B49" s="113"/>
      <c r="C49" s="21" t="s">
        <v>433</v>
      </c>
      <c r="H49" s="74">
        <f>B49*Références!C109</f>
        <v>0</v>
      </c>
      <c r="I49" s="201"/>
      <c r="J49" s="232"/>
      <c r="K49" s="21"/>
      <c r="L49" s="21"/>
      <c r="M49" s="21"/>
      <c r="N49" s="72"/>
      <c r="O49" s="21"/>
      <c r="P49" s="21"/>
      <c r="Q49" s="21"/>
      <c r="R49" s="21"/>
      <c r="S49" s="21"/>
      <c r="T49" s="21"/>
      <c r="U49" s="21"/>
      <c r="V49" s="21"/>
      <c r="W49" s="21"/>
      <c r="X49" s="21"/>
      <c r="Y49" s="21"/>
      <c r="Z49" s="21"/>
    </row>
    <row r="50" spans="1:26" ht="19" x14ac:dyDescent="0.25">
      <c r="A50" s="48" t="s">
        <v>278</v>
      </c>
      <c r="B50" s="113"/>
      <c r="C50" s="21" t="s">
        <v>433</v>
      </c>
      <c r="H50" s="74">
        <f>B50*Références!C110</f>
        <v>0</v>
      </c>
      <c r="I50" s="201"/>
      <c r="J50" s="232"/>
      <c r="K50" s="21"/>
      <c r="L50" s="21"/>
      <c r="M50" s="21"/>
      <c r="N50" s="72"/>
      <c r="O50" s="21"/>
      <c r="P50" s="21"/>
      <c r="Q50" s="21"/>
      <c r="R50" s="21"/>
      <c r="S50" s="21"/>
      <c r="T50" s="21"/>
      <c r="U50" s="21"/>
      <c r="V50" s="21"/>
      <c r="W50" s="21"/>
      <c r="X50" s="21"/>
      <c r="Y50" s="21"/>
      <c r="Z50" s="21"/>
    </row>
    <row r="51" spans="1:26" ht="19" x14ac:dyDescent="0.25">
      <c r="A51" s="48" t="s">
        <v>280</v>
      </c>
      <c r="B51" s="113"/>
      <c r="C51" s="21" t="s">
        <v>433</v>
      </c>
      <c r="H51" s="74">
        <f>B51*10.65/1000</f>
        <v>0</v>
      </c>
      <c r="I51" s="201"/>
      <c r="J51" s="232"/>
      <c r="K51" s="21"/>
      <c r="L51" s="21"/>
      <c r="M51" s="21"/>
      <c r="N51" s="72"/>
      <c r="O51" s="21"/>
      <c r="P51" s="21"/>
      <c r="Q51" s="21"/>
      <c r="R51" s="21"/>
      <c r="S51" s="21"/>
      <c r="T51" s="21"/>
      <c r="U51" s="21"/>
      <c r="V51" s="21"/>
      <c r="W51" s="21"/>
      <c r="X51" s="21"/>
      <c r="Y51" s="21"/>
      <c r="Z51" s="21"/>
    </row>
    <row r="52" spans="1:26" ht="19" x14ac:dyDescent="0.25">
      <c r="A52" s="48" t="s">
        <v>279</v>
      </c>
      <c r="B52" s="113"/>
      <c r="C52" s="21" t="s">
        <v>433</v>
      </c>
      <c r="H52" s="74">
        <f>B52*0.4/1000</f>
        <v>0</v>
      </c>
      <c r="I52" s="201"/>
      <c r="J52" s="232"/>
      <c r="K52" s="21"/>
      <c r="L52" s="21"/>
      <c r="M52" s="21"/>
      <c r="N52" s="72"/>
      <c r="O52" s="21"/>
      <c r="P52" s="21"/>
      <c r="Q52" s="21"/>
      <c r="R52" s="21"/>
      <c r="S52" s="21"/>
      <c r="T52" s="21"/>
      <c r="U52" s="21"/>
      <c r="V52" s="21"/>
      <c r="W52" s="21"/>
      <c r="X52" s="21"/>
      <c r="Y52" s="21"/>
      <c r="Z52" s="21"/>
    </row>
    <row r="53" spans="1:26" ht="20" thickBot="1" x14ac:dyDescent="0.3">
      <c r="A53" s="26"/>
      <c r="B53" s="27"/>
      <c r="C53" s="27"/>
      <c r="H53" s="14"/>
      <c r="I53" s="205"/>
      <c r="J53" s="232"/>
      <c r="K53" s="21"/>
      <c r="L53" s="21"/>
      <c r="M53" s="21"/>
      <c r="N53" s="72"/>
      <c r="O53" s="21"/>
      <c r="P53" s="21"/>
      <c r="Q53" s="21"/>
      <c r="R53" s="21"/>
      <c r="S53" s="21"/>
      <c r="T53" s="21"/>
      <c r="U53" s="21"/>
      <c r="V53" s="21"/>
      <c r="W53" s="21"/>
      <c r="X53" s="21"/>
      <c r="Y53" s="21"/>
      <c r="Z53" s="21"/>
    </row>
    <row r="54" spans="1:26" ht="20" thickBot="1" x14ac:dyDescent="0.3">
      <c r="A54" s="61" t="s">
        <v>245</v>
      </c>
      <c r="B54" s="62"/>
      <c r="C54" s="58" t="s">
        <v>87</v>
      </c>
      <c r="D54" s="66"/>
      <c r="E54" s="66"/>
      <c r="F54" s="66"/>
      <c r="G54" s="66"/>
      <c r="H54" s="59" t="s">
        <v>243</v>
      </c>
      <c r="I54" s="204" t="s">
        <v>564</v>
      </c>
      <c r="J54" s="232"/>
      <c r="K54" s="21"/>
      <c r="L54" s="21"/>
      <c r="M54" s="21"/>
      <c r="N54" s="72"/>
      <c r="O54" s="21"/>
      <c r="P54" s="21"/>
      <c r="Q54" s="21"/>
      <c r="R54" s="21"/>
      <c r="S54" s="21"/>
      <c r="T54" s="21"/>
      <c r="U54" s="21"/>
      <c r="V54" s="21"/>
      <c r="W54" s="21"/>
      <c r="X54" s="21"/>
      <c r="Y54" s="21"/>
      <c r="Z54" s="21"/>
    </row>
    <row r="55" spans="1:26" ht="19" x14ac:dyDescent="0.25">
      <c r="A55" s="48" t="s">
        <v>281</v>
      </c>
      <c r="B55" s="113"/>
      <c r="C55" s="21" t="s">
        <v>433</v>
      </c>
      <c r="H55" s="74">
        <f>B55*0.165/1000</f>
        <v>0</v>
      </c>
      <c r="I55" s="181"/>
      <c r="J55" s="232"/>
      <c r="K55" s="21"/>
      <c r="L55" s="21"/>
      <c r="M55" s="21"/>
      <c r="N55" s="72"/>
      <c r="O55" s="21"/>
      <c r="P55" s="21"/>
      <c r="Q55" s="21"/>
      <c r="R55" s="21"/>
      <c r="S55" s="21"/>
      <c r="T55" s="21"/>
      <c r="U55" s="21"/>
      <c r="V55" s="21"/>
      <c r="W55" s="21"/>
      <c r="X55" s="21"/>
      <c r="Y55" s="21"/>
      <c r="Z55" s="21"/>
    </row>
    <row r="56" spans="1:26" ht="19" x14ac:dyDescent="0.25">
      <c r="A56" s="48" t="s">
        <v>282</v>
      </c>
      <c r="B56" s="113"/>
      <c r="C56" s="21" t="s">
        <v>433</v>
      </c>
      <c r="H56" s="74">
        <f>B56*10.959/1000</f>
        <v>0</v>
      </c>
      <c r="I56" s="180"/>
      <c r="J56" s="232"/>
      <c r="K56" s="21"/>
      <c r="L56" s="21"/>
      <c r="M56" s="21"/>
      <c r="N56" s="72"/>
      <c r="O56" s="21"/>
      <c r="P56" s="21"/>
      <c r="Q56" s="21"/>
      <c r="R56" s="21"/>
      <c r="S56" s="21"/>
      <c r="T56" s="21"/>
      <c r="U56" s="21"/>
      <c r="V56" s="21"/>
      <c r="W56" s="21"/>
      <c r="X56" s="21"/>
      <c r="Y56" s="21"/>
      <c r="Z56" s="21"/>
    </row>
    <row r="57" spans="1:26" ht="19" x14ac:dyDescent="0.25">
      <c r="A57" s="48" t="s">
        <v>283</v>
      </c>
      <c r="B57" s="113"/>
      <c r="C57" s="21" t="s">
        <v>433</v>
      </c>
      <c r="H57" s="74">
        <f>B57*2.476/1000</f>
        <v>0</v>
      </c>
      <c r="I57" s="180"/>
      <c r="J57" s="232"/>
      <c r="K57" s="21"/>
      <c r="L57" s="21"/>
      <c r="M57" s="21"/>
      <c r="N57" s="72"/>
      <c r="O57" s="21"/>
      <c r="P57" s="21"/>
      <c r="Q57" s="21"/>
      <c r="R57" s="21"/>
      <c r="S57" s="21"/>
      <c r="T57" s="21"/>
      <c r="U57" s="21"/>
      <c r="V57" s="21"/>
      <c r="W57" s="21"/>
      <c r="X57" s="21"/>
      <c r="Y57" s="21"/>
      <c r="Z57" s="21"/>
    </row>
    <row r="58" spans="1:26" ht="19" x14ac:dyDescent="0.25">
      <c r="A58" s="48" t="s">
        <v>284</v>
      </c>
      <c r="B58" s="113"/>
      <c r="C58" s="21" t="s">
        <v>433</v>
      </c>
      <c r="H58" s="74">
        <f>B58*1.754/1000</f>
        <v>0</v>
      </c>
      <c r="I58" s="180"/>
      <c r="J58" s="232"/>
      <c r="K58" s="21"/>
      <c r="L58" s="21"/>
      <c r="M58" s="21"/>
      <c r="N58" s="72"/>
      <c r="O58" s="21"/>
      <c r="P58" s="21"/>
      <c r="Q58" s="21"/>
      <c r="R58" s="21"/>
      <c r="S58" s="21"/>
      <c r="T58" s="21"/>
      <c r="U58" s="21"/>
      <c r="V58" s="21"/>
      <c r="W58" s="21"/>
      <c r="X58" s="21"/>
      <c r="Y58" s="21"/>
      <c r="Z58" s="21"/>
    </row>
    <row r="59" spans="1:26" ht="19" x14ac:dyDescent="0.25">
      <c r="A59" s="48" t="s">
        <v>287</v>
      </c>
      <c r="B59" s="113"/>
      <c r="C59" s="21" t="s">
        <v>433</v>
      </c>
      <c r="H59" s="74">
        <f>B59*1.316/1000</f>
        <v>0</v>
      </c>
      <c r="I59" s="180"/>
      <c r="J59" s="232"/>
      <c r="K59" s="21"/>
      <c r="L59" s="21"/>
      <c r="M59" s="21"/>
      <c r="N59" s="72"/>
      <c r="O59" s="21"/>
      <c r="P59" s="21"/>
      <c r="Q59" s="21"/>
      <c r="R59" s="21"/>
      <c r="S59" s="21"/>
      <c r="T59" s="21"/>
      <c r="U59" s="21"/>
      <c r="V59" s="21"/>
      <c r="W59" s="21"/>
      <c r="X59" s="21"/>
      <c r="Y59" s="21"/>
      <c r="Z59" s="21"/>
    </row>
    <row r="60" spans="1:26" ht="19" x14ac:dyDescent="0.25">
      <c r="A60" s="48" t="s">
        <v>288</v>
      </c>
      <c r="B60" s="113"/>
      <c r="C60" s="21" t="s">
        <v>433</v>
      </c>
      <c r="H60" s="74">
        <f>B60*0.981/1000</f>
        <v>0</v>
      </c>
      <c r="I60" s="180"/>
      <c r="J60" s="232"/>
      <c r="K60" s="21"/>
      <c r="L60" s="21"/>
      <c r="M60" s="21"/>
      <c r="N60" s="72"/>
      <c r="O60" s="21"/>
      <c r="P60" s="21"/>
      <c r="Q60" s="21"/>
      <c r="R60" s="21"/>
      <c r="S60" s="21"/>
      <c r="T60" s="21"/>
      <c r="U60" s="21"/>
      <c r="V60" s="21"/>
      <c r="W60" s="21"/>
      <c r="X60" s="21"/>
      <c r="Y60" s="21"/>
      <c r="Z60" s="21"/>
    </row>
    <row r="61" spans="1:26" ht="19" x14ac:dyDescent="0.25">
      <c r="A61" s="48" t="s">
        <v>285</v>
      </c>
      <c r="B61" s="113"/>
      <c r="C61" s="21" t="s">
        <v>433</v>
      </c>
      <c r="H61" s="74">
        <f>B61*0.334/1000</f>
        <v>0</v>
      </c>
      <c r="I61" s="180"/>
      <c r="J61" s="232"/>
      <c r="K61" s="21"/>
      <c r="L61" s="21"/>
      <c r="M61" s="21"/>
      <c r="N61" s="72"/>
      <c r="O61" s="21"/>
      <c r="P61" s="21"/>
      <c r="Q61" s="21"/>
      <c r="R61" s="21"/>
      <c r="S61" s="21"/>
      <c r="T61" s="21"/>
      <c r="U61" s="21"/>
      <c r="V61" s="21"/>
      <c r="W61" s="21"/>
      <c r="X61" s="21"/>
      <c r="Y61" s="21"/>
      <c r="Z61" s="21"/>
    </row>
    <row r="62" spans="1:26" ht="19" x14ac:dyDescent="0.25">
      <c r="A62" s="48" t="s">
        <v>286</v>
      </c>
      <c r="B62" s="113"/>
      <c r="C62" s="21" t="s">
        <v>433</v>
      </c>
      <c r="H62" s="74">
        <f>B62*2.057/1000</f>
        <v>0</v>
      </c>
      <c r="I62" s="180"/>
      <c r="J62" s="232"/>
      <c r="K62" s="21"/>
      <c r="L62" s="21"/>
      <c r="M62" s="21"/>
      <c r="N62" s="72"/>
      <c r="O62" s="21"/>
      <c r="P62" s="21"/>
      <c r="Q62" s="21"/>
      <c r="R62" s="21"/>
      <c r="S62" s="21"/>
      <c r="T62" s="21"/>
      <c r="U62" s="21"/>
      <c r="V62" s="21"/>
      <c r="W62" s="21"/>
      <c r="X62" s="21"/>
      <c r="Y62" s="21"/>
      <c r="Z62" s="21"/>
    </row>
    <row r="63" spans="1:26" ht="19" x14ac:dyDescent="0.25">
      <c r="A63" s="48" t="s">
        <v>289</v>
      </c>
      <c r="B63" s="113"/>
      <c r="C63" s="21" t="s">
        <v>433</v>
      </c>
      <c r="H63" s="74">
        <f>B63*3.852/1000</f>
        <v>0</v>
      </c>
      <c r="I63" s="180"/>
      <c r="J63" s="232"/>
      <c r="K63" s="21"/>
      <c r="L63" s="21"/>
      <c r="M63" s="21"/>
      <c r="N63" s="72"/>
      <c r="O63" s="21"/>
      <c r="P63" s="21"/>
      <c r="Q63" s="21"/>
      <c r="R63" s="21"/>
      <c r="S63" s="21"/>
      <c r="T63" s="21"/>
      <c r="U63" s="21"/>
      <c r="V63" s="21"/>
      <c r="W63" s="21"/>
      <c r="X63" s="21"/>
      <c r="Y63" s="21"/>
      <c r="Z63" s="21"/>
    </row>
    <row r="64" spans="1:26" ht="40" x14ac:dyDescent="0.25">
      <c r="A64" s="115" t="s">
        <v>290</v>
      </c>
      <c r="B64" s="113"/>
      <c r="C64" s="21" t="s">
        <v>433</v>
      </c>
      <c r="H64" s="74">
        <f>B64*11.437/1000</f>
        <v>0</v>
      </c>
      <c r="I64" s="180"/>
      <c r="J64" s="232"/>
      <c r="K64" s="21"/>
      <c r="L64" s="21"/>
      <c r="M64" s="21"/>
      <c r="N64" s="72"/>
      <c r="O64" s="21"/>
      <c r="P64" s="21"/>
      <c r="Q64" s="21"/>
      <c r="R64" s="21"/>
      <c r="S64" s="21"/>
      <c r="T64" s="21"/>
      <c r="U64" s="21"/>
      <c r="V64" s="21"/>
      <c r="W64" s="21"/>
      <c r="X64" s="21"/>
      <c r="Y64" s="21"/>
      <c r="Z64" s="21"/>
    </row>
    <row r="65" spans="1:26" ht="20" thickBot="1" x14ac:dyDescent="0.3">
      <c r="A65" s="48"/>
      <c r="B65" s="21"/>
      <c r="D65" s="6"/>
      <c r="E65" s="6"/>
      <c r="F65" s="6"/>
      <c r="G65" s="6"/>
      <c r="H65" s="13"/>
      <c r="I65" s="196"/>
      <c r="J65" s="232"/>
      <c r="K65" s="21"/>
      <c r="L65" s="21"/>
      <c r="M65" s="21"/>
      <c r="N65" s="72"/>
      <c r="O65" s="21"/>
      <c r="P65" s="21"/>
      <c r="Q65" s="21"/>
      <c r="R65" s="21"/>
      <c r="S65" s="21"/>
      <c r="T65" s="21"/>
      <c r="U65" s="21"/>
      <c r="V65" s="21"/>
      <c r="W65" s="21"/>
      <c r="X65" s="21"/>
      <c r="Y65" s="21"/>
      <c r="Z65" s="21"/>
    </row>
    <row r="66" spans="1:26" ht="20" thickBot="1" x14ac:dyDescent="0.3">
      <c r="A66" s="61" t="s">
        <v>291</v>
      </c>
      <c r="B66" s="62"/>
      <c r="C66" s="58" t="s">
        <v>87</v>
      </c>
      <c r="D66" s="66"/>
      <c r="E66" s="66"/>
      <c r="F66" s="66"/>
      <c r="G66" s="66"/>
      <c r="H66" s="75" t="s">
        <v>243</v>
      </c>
      <c r="I66" s="197" t="s">
        <v>564</v>
      </c>
      <c r="J66" s="232"/>
      <c r="K66" s="21"/>
      <c r="L66" s="21"/>
      <c r="M66" s="21"/>
      <c r="N66" s="72"/>
      <c r="O66" s="21"/>
      <c r="P66" s="21"/>
      <c r="Q66" s="21"/>
      <c r="R66" s="21"/>
      <c r="S66" s="21"/>
      <c r="T66" s="21"/>
      <c r="U66" s="21"/>
      <c r="V66" s="21"/>
      <c r="W66" s="21"/>
      <c r="X66" s="21"/>
      <c r="Y66" s="21"/>
      <c r="Z66" s="21"/>
    </row>
    <row r="67" spans="1:26" ht="19" x14ac:dyDescent="0.25">
      <c r="A67" s="48" t="s">
        <v>292</v>
      </c>
      <c r="B67" s="113"/>
      <c r="C67" s="21" t="s">
        <v>433</v>
      </c>
      <c r="H67" s="74">
        <f>B67*0.764/1000</f>
        <v>0</v>
      </c>
      <c r="I67" s="201"/>
      <c r="J67" s="232"/>
      <c r="K67" s="21"/>
      <c r="L67" s="21"/>
      <c r="M67" s="21"/>
      <c r="N67" s="72"/>
      <c r="O67" s="21"/>
      <c r="P67" s="21"/>
      <c r="Q67" s="21"/>
      <c r="R67" s="21"/>
      <c r="S67" s="21"/>
      <c r="T67" s="21"/>
      <c r="U67" s="21"/>
      <c r="V67" s="21"/>
      <c r="W67" s="21"/>
      <c r="X67" s="21"/>
      <c r="Y67" s="21"/>
      <c r="Z67" s="21"/>
    </row>
    <row r="68" spans="1:26" ht="19" x14ac:dyDescent="0.25">
      <c r="A68" s="48" t="s">
        <v>293</v>
      </c>
      <c r="B68" s="113"/>
      <c r="C68" s="21" t="s">
        <v>433</v>
      </c>
      <c r="H68" s="74">
        <f>B68*1.923/1000</f>
        <v>0</v>
      </c>
      <c r="I68" s="201"/>
      <c r="J68" s="232"/>
      <c r="K68" s="21"/>
      <c r="L68" s="21"/>
      <c r="M68" s="21"/>
      <c r="N68" s="72"/>
      <c r="O68" s="21"/>
      <c r="P68" s="21"/>
      <c r="Q68" s="21"/>
      <c r="R68" s="21"/>
      <c r="S68" s="21"/>
      <c r="T68" s="21"/>
      <c r="U68" s="21"/>
      <c r="V68" s="21"/>
      <c r="W68" s="21"/>
      <c r="X68" s="21"/>
      <c r="Y68" s="21"/>
      <c r="Z68" s="21"/>
    </row>
    <row r="69" spans="1:26" ht="19" x14ac:dyDescent="0.25">
      <c r="A69" s="48" t="s">
        <v>294</v>
      </c>
      <c r="B69" s="113"/>
      <c r="C69" s="21" t="s">
        <v>433</v>
      </c>
      <c r="H69" s="74">
        <f>B69*0.91/1000</f>
        <v>0</v>
      </c>
      <c r="I69" s="201"/>
      <c r="J69" s="232"/>
      <c r="K69" s="21"/>
      <c r="L69" s="21"/>
      <c r="M69" s="21"/>
      <c r="N69" s="72"/>
      <c r="O69" s="21"/>
      <c r="P69" s="21"/>
      <c r="Q69" s="21"/>
      <c r="R69" s="21"/>
      <c r="S69" s="21"/>
      <c r="T69" s="21"/>
      <c r="U69" s="21"/>
      <c r="V69" s="21"/>
      <c r="W69" s="21"/>
      <c r="X69" s="21"/>
      <c r="Y69" s="21"/>
      <c r="Z69" s="21"/>
    </row>
    <row r="70" spans="1:26" ht="19" x14ac:dyDescent="0.25">
      <c r="A70" s="48" t="s">
        <v>295</v>
      </c>
      <c r="B70" s="113"/>
      <c r="C70" s="21" t="s">
        <v>433</v>
      </c>
      <c r="H70" s="74">
        <f>B70*2.891/1000</f>
        <v>0</v>
      </c>
      <c r="I70" s="201"/>
      <c r="J70" s="232"/>
      <c r="K70" s="21"/>
      <c r="L70" s="21"/>
      <c r="M70" s="21"/>
      <c r="N70" s="72"/>
      <c r="O70" s="21"/>
      <c r="P70" s="21"/>
      <c r="Q70" s="21"/>
      <c r="R70" s="21"/>
      <c r="S70" s="21"/>
      <c r="T70" s="21"/>
      <c r="U70" s="21"/>
      <c r="V70" s="21"/>
      <c r="W70" s="21"/>
      <c r="X70" s="21"/>
      <c r="Y70" s="21"/>
      <c r="Z70" s="21"/>
    </row>
    <row r="71" spans="1:26" ht="40" x14ac:dyDescent="0.25">
      <c r="A71" s="115" t="s">
        <v>298</v>
      </c>
      <c r="B71" s="113"/>
      <c r="C71" s="21" t="s">
        <v>433</v>
      </c>
      <c r="H71" s="74">
        <f>B71*2.25/1000</f>
        <v>0</v>
      </c>
      <c r="I71" s="201"/>
      <c r="J71" s="232"/>
      <c r="K71" s="21"/>
      <c r="L71" s="21"/>
      <c r="M71" s="21"/>
      <c r="N71" s="72"/>
      <c r="O71" s="21"/>
      <c r="P71" s="21"/>
      <c r="Q71" s="21"/>
      <c r="R71" s="21"/>
      <c r="S71" s="21"/>
      <c r="T71" s="21"/>
      <c r="U71" s="21"/>
      <c r="V71" s="21"/>
      <c r="W71" s="21"/>
      <c r="X71" s="21"/>
      <c r="Y71" s="21"/>
      <c r="Z71" s="21"/>
    </row>
    <row r="72" spans="1:26" ht="19" x14ac:dyDescent="0.25">
      <c r="A72" s="48" t="s">
        <v>296</v>
      </c>
      <c r="B72" s="113"/>
      <c r="C72" s="21" t="s">
        <v>433</v>
      </c>
      <c r="H72" s="74">
        <f>B72*1.7/1000</f>
        <v>0</v>
      </c>
      <c r="I72" s="201"/>
      <c r="J72" s="232"/>
      <c r="K72" s="21"/>
      <c r="L72" s="21"/>
      <c r="M72" s="21"/>
      <c r="N72" s="72"/>
      <c r="O72" s="21"/>
      <c r="P72" s="21"/>
      <c r="Q72" s="21"/>
      <c r="R72" s="21"/>
      <c r="S72" s="21"/>
      <c r="T72" s="21"/>
      <c r="U72" s="21"/>
      <c r="V72" s="21"/>
      <c r="W72" s="21"/>
      <c r="X72" s="21"/>
      <c r="Y72" s="21"/>
      <c r="Z72" s="21"/>
    </row>
    <row r="73" spans="1:26" ht="19" x14ac:dyDescent="0.25">
      <c r="A73" s="48" t="s">
        <v>297</v>
      </c>
      <c r="B73" s="113"/>
      <c r="C73" s="21" t="s">
        <v>433</v>
      </c>
      <c r="H73" s="74">
        <f>B73*6.11/1000</f>
        <v>0</v>
      </c>
      <c r="I73" s="201"/>
      <c r="J73" s="232"/>
      <c r="K73" s="21"/>
      <c r="L73" s="21"/>
      <c r="M73" s="21"/>
      <c r="N73" s="72"/>
      <c r="O73" s="21"/>
      <c r="P73" s="21"/>
      <c r="Q73" s="21"/>
      <c r="R73" s="21"/>
      <c r="S73" s="21"/>
      <c r="T73" s="21"/>
      <c r="U73" s="21"/>
      <c r="V73" s="21"/>
      <c r="W73" s="21"/>
      <c r="X73" s="21"/>
      <c r="Y73" s="21"/>
      <c r="Z73" s="21"/>
    </row>
    <row r="74" spans="1:26" ht="19" x14ac:dyDescent="0.25">
      <c r="A74" s="48" t="s">
        <v>313</v>
      </c>
      <c r="B74" s="113"/>
      <c r="C74" s="21" t="s">
        <v>433</v>
      </c>
      <c r="H74" s="74">
        <f>B74*1.92/1000</f>
        <v>0</v>
      </c>
      <c r="I74" s="201"/>
      <c r="J74" s="232"/>
      <c r="K74" s="21"/>
      <c r="L74" s="21"/>
      <c r="M74" s="21"/>
      <c r="N74" s="72"/>
      <c r="O74" s="21"/>
      <c r="P74" s="21"/>
      <c r="Q74" s="21"/>
      <c r="R74" s="21"/>
      <c r="S74" s="21"/>
      <c r="T74" s="21"/>
      <c r="U74" s="21"/>
      <c r="V74" s="21"/>
      <c r="W74" s="21"/>
      <c r="X74" s="21"/>
      <c r="Y74" s="21"/>
      <c r="Z74" s="21"/>
    </row>
    <row r="75" spans="1:26" ht="20" thickBot="1" x14ac:dyDescent="0.3">
      <c r="A75" s="26"/>
      <c r="B75" s="27"/>
      <c r="C75" s="27"/>
      <c r="H75" s="14"/>
      <c r="I75" s="205"/>
      <c r="J75" s="232"/>
      <c r="K75" s="21"/>
      <c r="L75" s="21"/>
      <c r="M75" s="21"/>
      <c r="N75" s="72"/>
      <c r="O75" s="21"/>
      <c r="P75" s="21"/>
      <c r="Q75" s="21"/>
      <c r="R75" s="21"/>
      <c r="S75" s="21"/>
      <c r="T75" s="21"/>
      <c r="U75" s="21"/>
      <c r="V75" s="21"/>
      <c r="W75" s="21"/>
      <c r="X75" s="21"/>
      <c r="Y75" s="21"/>
      <c r="Z75" s="21"/>
    </row>
    <row r="76" spans="1:26" ht="20" thickBot="1" x14ac:dyDescent="0.3">
      <c r="A76" s="61" t="s">
        <v>247</v>
      </c>
      <c r="B76" s="62"/>
      <c r="C76" s="58" t="s">
        <v>87</v>
      </c>
      <c r="D76" s="66"/>
      <c r="E76" s="66"/>
      <c r="F76" s="66"/>
      <c r="G76" s="66"/>
      <c r="H76" s="59" t="s">
        <v>243</v>
      </c>
      <c r="I76" s="204" t="s">
        <v>564</v>
      </c>
      <c r="J76" s="232"/>
      <c r="K76" s="21"/>
      <c r="L76" s="21"/>
      <c r="M76" s="21"/>
      <c r="N76" s="72"/>
      <c r="O76" s="21"/>
      <c r="P76" s="21"/>
      <c r="Q76" s="21"/>
      <c r="R76" s="21"/>
      <c r="S76" s="21"/>
      <c r="T76" s="21"/>
      <c r="U76" s="21"/>
      <c r="V76" s="21"/>
      <c r="W76" s="21"/>
      <c r="X76" s="21"/>
      <c r="Y76" s="21"/>
      <c r="Z76" s="21"/>
    </row>
    <row r="77" spans="1:26" ht="19" x14ac:dyDescent="0.25">
      <c r="A77" s="48" t="s">
        <v>553</v>
      </c>
      <c r="B77" s="113"/>
      <c r="C77" s="21" t="s">
        <v>433</v>
      </c>
      <c r="D77" s="21"/>
      <c r="E77" s="21"/>
      <c r="F77" s="21"/>
      <c r="G77" s="21"/>
      <c r="H77" s="124">
        <f>B77*0.0003706</f>
        <v>0</v>
      </c>
      <c r="I77" s="181"/>
      <c r="J77" s="232"/>
      <c r="K77" s="21"/>
      <c r="L77" s="21"/>
      <c r="M77" s="21"/>
      <c r="N77" s="72"/>
      <c r="O77" s="21"/>
      <c r="P77" s="21"/>
      <c r="Q77" s="21"/>
      <c r="R77" s="21"/>
      <c r="S77" s="21"/>
      <c r="T77" s="21"/>
      <c r="U77" s="21"/>
      <c r="V77" s="21"/>
      <c r="W77" s="21"/>
      <c r="X77" s="21"/>
      <c r="Y77" s="21"/>
      <c r="Z77" s="21"/>
    </row>
    <row r="78" spans="1:26" ht="19" x14ac:dyDescent="0.25">
      <c r="A78" s="48" t="s">
        <v>558</v>
      </c>
      <c r="B78" s="113"/>
      <c r="C78" s="21" t="s">
        <v>433</v>
      </c>
      <c r="D78" s="21"/>
      <c r="E78" s="21"/>
      <c r="F78" s="21"/>
      <c r="G78" s="21"/>
      <c r="H78" s="124">
        <f>B78*0.00001596</f>
        <v>0</v>
      </c>
      <c r="I78" s="180"/>
      <c r="J78" s="232"/>
      <c r="K78" s="21"/>
      <c r="L78" s="21"/>
      <c r="M78" s="21"/>
      <c r="N78" s="72"/>
      <c r="O78" s="21"/>
      <c r="P78" s="21"/>
      <c r="Q78" s="21"/>
      <c r="R78" s="21"/>
      <c r="S78" s="21"/>
      <c r="T78" s="21"/>
      <c r="U78" s="21"/>
      <c r="V78" s="21"/>
      <c r="W78" s="21"/>
      <c r="X78" s="21"/>
      <c r="Y78" s="21"/>
      <c r="Z78" s="21"/>
    </row>
    <row r="79" spans="1:26" ht="19" x14ac:dyDescent="0.25">
      <c r="A79" s="48" t="s">
        <v>563</v>
      </c>
      <c r="B79" s="113"/>
      <c r="C79" s="21" t="s">
        <v>433</v>
      </c>
      <c r="D79" s="21"/>
      <c r="E79" s="21"/>
      <c r="F79" s="21"/>
      <c r="G79" s="21"/>
      <c r="H79" s="124">
        <f>B79*0.6545/1000</f>
        <v>0</v>
      </c>
      <c r="I79" s="180"/>
      <c r="J79" s="232"/>
      <c r="K79" s="21"/>
      <c r="L79" s="21"/>
      <c r="M79" s="21"/>
      <c r="N79" s="72"/>
      <c r="O79" s="21"/>
      <c r="P79" s="21"/>
      <c r="Q79" s="21"/>
      <c r="R79" s="21"/>
      <c r="S79" s="21"/>
      <c r="T79" s="21"/>
      <c r="U79" s="21"/>
      <c r="V79" s="21"/>
      <c r="W79" s="21"/>
      <c r="X79" s="21"/>
      <c r="Y79" s="21"/>
      <c r="Z79" s="21"/>
    </row>
    <row r="80" spans="1:26" ht="20" thickBot="1" x14ac:dyDescent="0.3">
      <c r="A80" s="26"/>
      <c r="B80" s="27"/>
      <c r="C80" s="27"/>
      <c r="D80" s="6"/>
      <c r="E80" s="6"/>
      <c r="F80" s="6"/>
      <c r="G80" s="6"/>
      <c r="H80" s="13"/>
      <c r="I80" s="195"/>
      <c r="J80" s="232"/>
      <c r="K80" s="21"/>
      <c r="L80" s="21"/>
      <c r="M80" s="21"/>
      <c r="N80" s="72"/>
      <c r="O80" s="21"/>
      <c r="P80" s="21"/>
      <c r="Q80" s="21"/>
      <c r="R80" s="21"/>
      <c r="S80" s="21"/>
      <c r="T80" s="21"/>
      <c r="U80" s="21"/>
      <c r="V80" s="21"/>
      <c r="W80" s="21"/>
      <c r="X80" s="21"/>
      <c r="Y80" s="21"/>
      <c r="Z80" s="21"/>
    </row>
    <row r="81" spans="8:17" ht="20" thickBot="1" x14ac:dyDescent="0.3">
      <c r="H81" s="125"/>
      <c r="I81" s="125"/>
      <c r="J81" s="232"/>
      <c r="K81" s="21"/>
      <c r="L81" s="21"/>
      <c r="M81" s="21"/>
      <c r="N81" s="72"/>
      <c r="P81" s="27"/>
      <c r="Q81" s="27"/>
    </row>
    <row r="82" spans="8:17" ht="19" x14ac:dyDescent="0.25">
      <c r="J82" s="232"/>
      <c r="K82" s="21"/>
      <c r="L82" s="21"/>
      <c r="M82" s="21"/>
      <c r="N82" s="72"/>
    </row>
    <row r="83" spans="8:17" ht="19" x14ac:dyDescent="0.25">
      <c r="J83" s="232"/>
      <c r="K83" s="21"/>
      <c r="L83" s="21"/>
      <c r="M83" s="21"/>
      <c r="N83" s="72"/>
    </row>
    <row r="84" spans="8:17" ht="19" x14ac:dyDescent="0.25">
      <c r="J84" s="232"/>
      <c r="K84" s="21"/>
      <c r="L84" s="21"/>
      <c r="M84" s="21"/>
      <c r="N84" s="72"/>
    </row>
    <row r="85" spans="8:17" ht="19" x14ac:dyDescent="0.25">
      <c r="J85" s="232"/>
      <c r="K85" s="21"/>
      <c r="L85" s="21"/>
      <c r="M85" s="21"/>
      <c r="N85" s="72"/>
    </row>
  </sheetData>
  <sheetProtection algorithmName="SHA-512" hashValue="dK6jnnk2mgDqK+JqOLq8uyzLfR8kbJD+Lzyo0sabP5yqnp+RS9uoRqLUHP0w2HN9BG/hU+LA0BnLbDG+mYiDdQ==" saltValue="PI95cGk8+9sPO+v668dNCQ==" spinCount="100000" sheet="1" objects="1" scenarios="1"/>
  <mergeCells count="2">
    <mergeCell ref="A14:H14"/>
    <mergeCell ref="I14:I16"/>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CC43D-3E1C-284A-BE39-5E1A508BB8FB}">
  <sheetPr>
    <tabColor rgb="FF7030A0"/>
  </sheetPr>
  <dimension ref="A1:I20"/>
  <sheetViews>
    <sheetView workbookViewId="0">
      <selection activeCell="I26" sqref="I26"/>
    </sheetView>
  </sheetViews>
  <sheetFormatPr baseColWidth="10" defaultRowHeight="16" x14ac:dyDescent="0.2"/>
  <cols>
    <col min="1" max="1" width="45" customWidth="1"/>
    <col min="8" max="8" width="38" customWidth="1"/>
    <col min="9" max="9" width="48.33203125" customWidth="1"/>
  </cols>
  <sheetData>
    <row r="1" spans="1:9" ht="17" thickBot="1" x14ac:dyDescent="0.25"/>
    <row r="2" spans="1:9" ht="22" thickBot="1" x14ac:dyDescent="0.3">
      <c r="A2" s="87" t="s">
        <v>461</v>
      </c>
      <c r="B2" s="68"/>
      <c r="C2" s="67" t="s">
        <v>87</v>
      </c>
      <c r="D2" s="67" t="s">
        <v>317</v>
      </c>
      <c r="E2" s="68"/>
      <c r="F2" s="68"/>
      <c r="G2" s="88"/>
      <c r="H2" s="89" t="s">
        <v>216</v>
      </c>
      <c r="I2" s="226" t="s">
        <v>565</v>
      </c>
    </row>
    <row r="3" spans="1:9" ht="19" x14ac:dyDescent="0.25">
      <c r="A3" s="90" t="s">
        <v>145</v>
      </c>
      <c r="B3" s="113"/>
      <c r="C3" s="21" t="s">
        <v>439</v>
      </c>
      <c r="D3" s="113"/>
      <c r="H3" s="74">
        <f>IF(D3&gt;=0.1, B3*Références!B173/D3, IF(D3="", B3*Références!B173,""))</f>
        <v>0</v>
      </c>
      <c r="I3" s="181"/>
    </row>
    <row r="4" spans="1:9" ht="19" x14ac:dyDescent="0.25">
      <c r="A4" s="90" t="s">
        <v>146</v>
      </c>
      <c r="B4" s="113"/>
      <c r="C4" s="21" t="s">
        <v>439</v>
      </c>
      <c r="D4" s="113"/>
      <c r="H4" s="74">
        <f>IF(D4&gt;=0.1, B4*Références!B174/D4, IF(D4="", B4*Références!B174,""))</f>
        <v>0</v>
      </c>
      <c r="I4" s="180"/>
    </row>
    <row r="5" spans="1:9" ht="19" x14ac:dyDescent="0.25">
      <c r="A5" s="90" t="s">
        <v>147</v>
      </c>
      <c r="B5" s="113"/>
      <c r="C5" s="21" t="s">
        <v>439</v>
      </c>
      <c r="D5" s="113"/>
      <c r="H5" s="74">
        <f>IF(D5&gt;=0.1, B5*Références!B175/D5, IF(D5="", B5*Références!B175,""))</f>
        <v>0</v>
      </c>
      <c r="I5" s="180"/>
    </row>
    <row r="6" spans="1:9" ht="19" x14ac:dyDescent="0.25">
      <c r="A6" s="90" t="s">
        <v>148</v>
      </c>
      <c r="B6" s="118"/>
      <c r="C6" s="21" t="s">
        <v>439</v>
      </c>
      <c r="D6" s="118"/>
      <c r="H6" s="74">
        <f>IF(D6&gt;=0.1, B6*Références!B176/D6, IF(D6="", B6*Références!B176,""))</f>
        <v>0</v>
      </c>
      <c r="I6" s="180"/>
    </row>
    <row r="7" spans="1:9" ht="19" x14ac:dyDescent="0.25">
      <c r="A7" s="90" t="s">
        <v>149</v>
      </c>
      <c r="B7" s="120"/>
      <c r="C7" s="21" t="s">
        <v>439</v>
      </c>
      <c r="D7" s="118"/>
      <c r="E7" s="29"/>
      <c r="F7" s="29"/>
      <c r="G7" s="29"/>
      <c r="H7" s="74">
        <f>IF(D7&gt;=0.1, B7*Références!B177/D7, IF(D7="", B7*Références!B177,""))</f>
        <v>0</v>
      </c>
      <c r="I7" s="180"/>
    </row>
    <row r="8" spans="1:9" ht="19" x14ac:dyDescent="0.25">
      <c r="A8" s="90" t="s">
        <v>150</v>
      </c>
      <c r="B8" s="113"/>
      <c r="C8" s="21" t="s">
        <v>439</v>
      </c>
      <c r="D8" s="113"/>
      <c r="H8" s="74">
        <f>IF(D8&gt;=0.1, B8*Références!B178/D8, IF(D8="", B8*Références!B178,""))</f>
        <v>0</v>
      </c>
      <c r="I8" s="180"/>
    </row>
    <row r="9" spans="1:9" ht="19" x14ac:dyDescent="0.25">
      <c r="A9" s="90" t="s">
        <v>151</v>
      </c>
      <c r="B9" s="113"/>
      <c r="C9" s="21" t="s">
        <v>439</v>
      </c>
      <c r="D9" s="113"/>
      <c r="H9" s="74">
        <f>IF(D9&gt;=0.1, B9*Références!B179/D9, IF(D9="", B9*Références!B179,""))</f>
        <v>0</v>
      </c>
      <c r="I9" s="180"/>
    </row>
    <row r="10" spans="1:9" ht="19" x14ac:dyDescent="0.25">
      <c r="A10" s="90" t="s">
        <v>152</v>
      </c>
      <c r="B10" s="113"/>
      <c r="C10" s="21" t="s">
        <v>439</v>
      </c>
      <c r="D10" s="113"/>
      <c r="H10" s="74">
        <f>IF(D10&gt;=0.1, B10*Références!B180/D10, IF(D10="", B10*Références!B180,""))</f>
        <v>0</v>
      </c>
      <c r="I10" s="180"/>
    </row>
    <row r="11" spans="1:9" ht="19" x14ac:dyDescent="0.25">
      <c r="A11" s="90" t="s">
        <v>401</v>
      </c>
      <c r="B11" s="113"/>
      <c r="C11" s="21" t="s">
        <v>439</v>
      </c>
      <c r="D11" s="113"/>
      <c r="H11" s="74">
        <f>IF(D11&gt;=0.1, B11*Références!B181/D11, IF(D11="", B11*Références!B181,""))</f>
        <v>0</v>
      </c>
      <c r="I11" s="180"/>
    </row>
    <row r="12" spans="1:9" ht="19" x14ac:dyDescent="0.25">
      <c r="A12" s="91" t="s">
        <v>403</v>
      </c>
      <c r="B12" s="113"/>
      <c r="C12" s="21" t="s">
        <v>439</v>
      </c>
      <c r="D12" s="113"/>
      <c r="H12" s="74">
        <f>IF(D12&gt;=0.1, B12*Références!B182/D12, IF(D12="", B12*Références!B182,""))</f>
        <v>0</v>
      </c>
      <c r="I12" s="233"/>
    </row>
    <row r="13" spans="1:9" ht="19" x14ac:dyDescent="0.25">
      <c r="A13" s="91" t="s">
        <v>404</v>
      </c>
      <c r="B13" s="113"/>
      <c r="C13" s="21" t="s">
        <v>439</v>
      </c>
      <c r="D13" s="113"/>
      <c r="H13" s="74">
        <f>IF(D13&gt;=0.1, B13*Références!B183/D13, IF(D13="", B13*Références!B183,""))</f>
        <v>0</v>
      </c>
      <c r="I13" s="233"/>
    </row>
    <row r="14" spans="1:9" ht="19" x14ac:dyDescent="0.25">
      <c r="A14" s="91" t="s">
        <v>405</v>
      </c>
      <c r="B14" s="113"/>
      <c r="C14" s="21" t="s">
        <v>439</v>
      </c>
      <c r="D14" s="113"/>
      <c r="H14" s="74">
        <f>IF(D14&gt;=0.1, B14*Références!B184/D14, IF(D14="", B14*Références!B184,""))</f>
        <v>0</v>
      </c>
      <c r="I14" s="233"/>
    </row>
    <row r="15" spans="1:9" ht="19" x14ac:dyDescent="0.25">
      <c r="A15" s="91" t="s">
        <v>406</v>
      </c>
      <c r="B15" s="113"/>
      <c r="C15" s="21" t="s">
        <v>439</v>
      </c>
      <c r="D15" s="113"/>
      <c r="H15" s="74">
        <f>IF(D15&gt;=0.1, B15*Références!B185/D15, IF(D15="", B15*Références!B185,""))</f>
        <v>0</v>
      </c>
      <c r="I15" s="233"/>
    </row>
    <row r="16" spans="1:9" ht="19" x14ac:dyDescent="0.25">
      <c r="A16" s="90" t="s">
        <v>153</v>
      </c>
      <c r="B16" s="113"/>
      <c r="C16" s="21" t="s">
        <v>439</v>
      </c>
      <c r="D16" s="113"/>
      <c r="H16" s="74">
        <f>IF(D16&gt;=0.1, B16*Références!B186/D16, IF(D16="", B16*Références!B186,""))</f>
        <v>0</v>
      </c>
      <c r="I16" s="180"/>
    </row>
    <row r="17" spans="1:9" ht="19" x14ac:dyDescent="0.25">
      <c r="A17" s="90" t="s">
        <v>154</v>
      </c>
      <c r="B17" s="113"/>
      <c r="C17" s="21" t="s">
        <v>439</v>
      </c>
      <c r="D17" s="113"/>
      <c r="H17" s="74">
        <f>IF(D17&gt;=0.1, B17*Références!B187/D17, IF(D17="", B17*Références!B187,""))</f>
        <v>0</v>
      </c>
      <c r="I17" s="180"/>
    </row>
    <row r="18" spans="1:9" ht="19" x14ac:dyDescent="0.25">
      <c r="A18" s="90" t="s">
        <v>155</v>
      </c>
      <c r="B18" s="113"/>
      <c r="C18" s="21" t="s">
        <v>439</v>
      </c>
      <c r="D18" s="113"/>
      <c r="H18" s="74">
        <f>IF(D18&gt;=0.1, B18*Références!B188/D18, IF(D18="", B18*Références!B188,""))</f>
        <v>0</v>
      </c>
      <c r="I18" s="180"/>
    </row>
    <row r="19" spans="1:9" ht="19" x14ac:dyDescent="0.25">
      <c r="A19" s="90" t="s">
        <v>156</v>
      </c>
      <c r="B19" s="113"/>
      <c r="C19" s="21" t="s">
        <v>439</v>
      </c>
      <c r="D19" s="113"/>
      <c r="H19" s="74">
        <f>IF(D19&gt;=0.1, B19*Références!B189/D19, IF(D19="", B19*Références!B189,""))</f>
        <v>0</v>
      </c>
      <c r="I19" s="180"/>
    </row>
    <row r="20" spans="1:9" ht="20" thickBot="1" x14ac:dyDescent="0.3">
      <c r="A20" s="234" t="s">
        <v>157</v>
      </c>
      <c r="B20" s="119"/>
      <c r="C20" s="27" t="s">
        <v>439</v>
      </c>
      <c r="D20" s="119"/>
      <c r="E20" s="6"/>
      <c r="F20" s="6"/>
      <c r="G20" s="6"/>
      <c r="H20" s="78">
        <f>IF(D20&gt;=0.1, B20*Références!B190/D20, IF(D20="", B20*Références!B190,""))</f>
        <v>0</v>
      </c>
      <c r="I20" s="182"/>
    </row>
  </sheetData>
  <sheetProtection algorithmName="SHA-512" hashValue="0KiD5ljrl2Fju7/fuKhRwutx1yqCRDheDFYn9hyOd6dHHSNO41UNGAsSK+VKGsUy4wpsZcnLTxAhIAq9cZiXSg==" saltValue="36BkW1kgZkd1ABGxK3KDGg==" spinCount="100000" sheet="1" objects="1" scenarios="1"/>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39F24-38CE-554F-A1F8-C4635D1AF810}">
  <sheetPr codeName="Feuil6"/>
  <dimension ref="A1:J286"/>
  <sheetViews>
    <sheetView topLeftCell="A66" zoomScale="110" zoomScaleNormal="110" workbookViewId="0">
      <selection activeCell="A93" sqref="A93"/>
    </sheetView>
  </sheetViews>
  <sheetFormatPr baseColWidth="10" defaultColWidth="11.5" defaultRowHeight="16" x14ac:dyDescent="0.2"/>
  <cols>
    <col min="1" max="1" width="66.5" customWidth="1"/>
    <col min="2" max="2" width="59.83203125" customWidth="1"/>
    <col min="3" max="3" width="28" customWidth="1"/>
    <col min="4" max="4" width="37.33203125" customWidth="1"/>
    <col min="5" max="5" width="112.6640625" customWidth="1"/>
    <col min="6" max="6" width="13.5" bestFit="1" customWidth="1"/>
    <col min="7" max="7" width="18.33203125" customWidth="1"/>
    <col min="8" max="8" width="78.6640625" customWidth="1"/>
    <col min="10" max="10" width="13" bestFit="1" customWidth="1"/>
    <col min="11" max="11" width="13.5" bestFit="1" customWidth="1"/>
  </cols>
  <sheetData>
    <row r="1" spans="1:8" ht="18" x14ac:dyDescent="0.25">
      <c r="A1" s="134" t="s">
        <v>9</v>
      </c>
      <c r="B1" s="135" t="s">
        <v>335</v>
      </c>
      <c r="C1" s="136" t="s">
        <v>444</v>
      </c>
      <c r="D1" s="136" t="s">
        <v>445</v>
      </c>
      <c r="E1" s="136" t="s">
        <v>446</v>
      </c>
      <c r="F1" s="136" t="s">
        <v>299</v>
      </c>
      <c r="G1" s="135" t="s">
        <v>10</v>
      </c>
    </row>
    <row r="2" spans="1:8" x14ac:dyDescent="0.2">
      <c r="A2" s="137" t="s">
        <v>11</v>
      </c>
      <c r="C2" s="138">
        <f>2.663/10^3</f>
        <v>2.663E-3</v>
      </c>
      <c r="D2" s="138">
        <f>0.15/10^6</f>
        <v>1.4999999999999999E-7</v>
      </c>
      <c r="E2" s="138">
        <f>1.1/10^6</f>
        <v>1.1000000000000001E-6</v>
      </c>
      <c r="F2" s="138">
        <f>C2+(D2*28)+(E2*298)</f>
        <v>2.9950000000000003E-3</v>
      </c>
      <c r="G2" t="s">
        <v>12</v>
      </c>
    </row>
    <row r="3" spans="1:8" x14ac:dyDescent="0.2">
      <c r="A3" s="137" t="s">
        <v>13</v>
      </c>
      <c r="C3" s="138">
        <f>2.289/10^3</f>
        <v>2.2890000000000002E-3</v>
      </c>
      <c r="D3" s="138">
        <f>2.7/10^6</f>
        <v>2.7E-6</v>
      </c>
      <c r="E3" s="138">
        <f>0.05/10^6</f>
        <v>5.0000000000000004E-8</v>
      </c>
      <c r="F3" s="138">
        <f t="shared" ref="F3:F18" si="0">C3+(D3*28)+(E3*298)</f>
        <v>2.3795000000000001E-3</v>
      </c>
      <c r="G3" t="s">
        <v>12</v>
      </c>
    </row>
    <row r="4" spans="1:8" x14ac:dyDescent="0.2">
      <c r="A4" s="137" t="s">
        <v>332</v>
      </c>
      <c r="C4" s="138">
        <f>1.51/10^3*0.867</f>
        <v>1.3091700000000001E-3</v>
      </c>
      <c r="D4" s="138">
        <f>0.64/10^6*0.867</f>
        <v>5.5488000000000006E-7</v>
      </c>
      <c r="E4" s="138">
        <f>0.028/10^6*0.867</f>
        <v>2.4275999999999998E-8</v>
      </c>
      <c r="F4" s="138">
        <f t="shared" si="0"/>
        <v>1.3319408880000001E-3</v>
      </c>
      <c r="G4" t="s">
        <v>12</v>
      </c>
    </row>
    <row r="5" spans="1:8" ht="17" x14ac:dyDescent="0.2">
      <c r="A5" s="137" t="s">
        <v>539</v>
      </c>
      <c r="C5" s="138"/>
      <c r="D5" s="138"/>
      <c r="E5" s="138"/>
      <c r="F5" s="138">
        <f>0.27/1000</f>
        <v>2.7E-4</v>
      </c>
      <c r="G5" s="139" t="s">
        <v>105</v>
      </c>
      <c r="H5" t="s">
        <v>540</v>
      </c>
    </row>
    <row r="6" spans="1:8" ht="18" x14ac:dyDescent="0.25">
      <c r="A6" s="134" t="s">
        <v>14</v>
      </c>
      <c r="B6" s="135"/>
      <c r="C6" s="140" t="s">
        <v>444</v>
      </c>
      <c r="D6" s="140" t="s">
        <v>445</v>
      </c>
      <c r="E6" s="140" t="s">
        <v>447</v>
      </c>
      <c r="F6" s="136" t="s">
        <v>299</v>
      </c>
      <c r="G6" s="135" t="s">
        <v>28</v>
      </c>
    </row>
    <row r="7" spans="1:8" x14ac:dyDescent="0.2">
      <c r="A7" s="137" t="s">
        <v>334</v>
      </c>
      <c r="B7" t="s">
        <v>336</v>
      </c>
      <c r="C7" s="138">
        <v>0</v>
      </c>
      <c r="D7" s="138">
        <f>0.576/10^6*10^3*F7</f>
        <v>1.507968E-4</v>
      </c>
      <c r="E7" s="138">
        <f>0.077/10^6*10^3*F7</f>
        <v>2.0158599999999997E-5</v>
      </c>
      <c r="F7" s="142">
        <v>0.26179999999999998</v>
      </c>
      <c r="G7" t="s">
        <v>327</v>
      </c>
    </row>
    <row r="8" spans="1:8" x14ac:dyDescent="0.2">
      <c r="A8" s="137" t="s">
        <v>334</v>
      </c>
      <c r="B8" t="s">
        <v>337</v>
      </c>
      <c r="C8" s="141">
        <v>0</v>
      </c>
      <c r="D8" s="141">
        <f>0.000576*F8</f>
        <v>2.1744000000000001E-4</v>
      </c>
      <c r="E8" s="141">
        <f>0.000077*F8</f>
        <v>2.9067499999999999E-5</v>
      </c>
      <c r="F8" s="142">
        <v>0.3775</v>
      </c>
      <c r="G8" t="s">
        <v>327</v>
      </c>
    </row>
    <row r="9" spans="1:8" x14ac:dyDescent="0.2">
      <c r="A9" s="137" t="s">
        <v>333</v>
      </c>
      <c r="B9" s="143"/>
      <c r="C9" s="141">
        <f>2325/1000000</f>
        <v>2.3249999999999998E-3</v>
      </c>
      <c r="D9" s="141">
        <f>2.2/1000000</f>
        <v>2.2000000000000001E-6</v>
      </c>
      <c r="E9" s="141">
        <f>0.23/1000000</f>
        <v>2.3000000000000002E-7</v>
      </c>
      <c r="F9" s="138">
        <f>2449/1000000</f>
        <v>2.4489999999999998E-3</v>
      </c>
      <c r="G9" t="s">
        <v>327</v>
      </c>
    </row>
    <row r="10" spans="1:8" x14ac:dyDescent="0.2">
      <c r="A10" s="137" t="s">
        <v>15</v>
      </c>
      <c r="C10" s="138">
        <f>2.289/10^3</f>
        <v>2.2890000000000002E-3</v>
      </c>
      <c r="D10" s="138">
        <f>2.7/10^6</f>
        <v>2.7E-6</v>
      </c>
      <c r="E10" s="138">
        <f>0.05/10^6</f>
        <v>5.0000000000000004E-8</v>
      </c>
      <c r="F10" s="138">
        <f t="shared" si="0"/>
        <v>2.3795000000000001E-3</v>
      </c>
      <c r="G10" t="s">
        <v>12</v>
      </c>
    </row>
    <row r="11" spans="1:8" x14ac:dyDescent="0.2">
      <c r="A11" s="137" t="s">
        <v>11</v>
      </c>
      <c r="C11" s="138">
        <f>2.663/10^3</f>
        <v>2.663E-3</v>
      </c>
      <c r="D11" s="138">
        <f>0.15/10^6</f>
        <v>1.4999999999999999E-7</v>
      </c>
      <c r="E11" s="138">
        <f>1.1/10^6</f>
        <v>1.1000000000000001E-6</v>
      </c>
      <c r="F11" s="138">
        <f t="shared" si="0"/>
        <v>2.9950000000000003E-3</v>
      </c>
      <c r="G11" t="s">
        <v>12</v>
      </c>
    </row>
    <row r="12" spans="1:8" x14ac:dyDescent="0.2">
      <c r="A12" s="137" t="s">
        <v>16</v>
      </c>
      <c r="C12" s="138">
        <f>2.663/10^3</f>
        <v>2.663E-3</v>
      </c>
      <c r="D12" s="138">
        <f>0.133/10^6</f>
        <v>1.3300000000000001E-7</v>
      </c>
      <c r="E12" s="141">
        <f>0.4/10^6</f>
        <v>4.0000000000000003E-7</v>
      </c>
      <c r="F12" s="138">
        <f t="shared" si="0"/>
        <v>2.785924E-3</v>
      </c>
      <c r="G12" t="s">
        <v>17</v>
      </c>
    </row>
    <row r="13" spans="1:8" x14ac:dyDescent="0.2">
      <c r="A13" s="137" t="s">
        <v>18</v>
      </c>
      <c r="C13" s="138">
        <f>2.725/10^3</f>
        <v>2.725E-3</v>
      </c>
      <c r="D13" s="138">
        <f>0.026/10^6</f>
        <v>2.5999999999999998E-8</v>
      </c>
      <c r="E13" s="138">
        <f>0.031/10^6</f>
        <v>3.1E-8</v>
      </c>
      <c r="F13" s="138">
        <f t="shared" si="0"/>
        <v>2.7349660000000001E-3</v>
      </c>
      <c r="G13" t="s">
        <v>17</v>
      </c>
    </row>
    <row r="14" spans="1:8" x14ac:dyDescent="0.2">
      <c r="A14" s="137" t="s">
        <v>19</v>
      </c>
      <c r="C14" s="138">
        <f>1.51/10^3*0.867</f>
        <v>1.3091700000000001E-3</v>
      </c>
      <c r="D14" s="138">
        <f>0.024/10^6*0.867</f>
        <v>2.0808E-8</v>
      </c>
      <c r="E14" s="138">
        <f>0.108/10^6*0.867</f>
        <v>9.3636000000000005E-8</v>
      </c>
      <c r="F14" s="138">
        <f t="shared" si="0"/>
        <v>1.337656152E-3</v>
      </c>
      <c r="G14" t="s">
        <v>17</v>
      </c>
    </row>
    <row r="15" spans="1:8" x14ac:dyDescent="0.2">
      <c r="A15" s="137" t="s">
        <v>20</v>
      </c>
      <c r="C15" s="138">
        <f>1.51/10^3*0.867</f>
        <v>1.3091700000000001E-3</v>
      </c>
      <c r="D15" s="138">
        <f>0.64/10^6*0.867</f>
        <v>5.5488000000000006E-7</v>
      </c>
      <c r="E15" s="138">
        <f>0.028/10^6*0.867</f>
        <v>2.4275999999999998E-8</v>
      </c>
      <c r="F15" s="138">
        <f t="shared" si="0"/>
        <v>1.3319408880000001E-3</v>
      </c>
      <c r="G15" t="s">
        <v>12</v>
      </c>
    </row>
    <row r="16" spans="1:8" x14ac:dyDescent="0.2">
      <c r="A16" s="137" t="s">
        <v>21</v>
      </c>
      <c r="C16" s="138">
        <f>1.878/10^3</f>
        <v>1.8779999999999999E-3</v>
      </c>
      <c r="D16" s="138">
        <f>0.037/10^6</f>
        <v>3.7E-8</v>
      </c>
      <c r="E16" s="138">
        <f>0.035/10^6</f>
        <v>3.5000000000000002E-8</v>
      </c>
      <c r="F16" s="138">
        <f t="shared" si="0"/>
        <v>1.889466E-3</v>
      </c>
      <c r="G16" t="s">
        <v>22</v>
      </c>
    </row>
    <row r="17" spans="1:7" x14ac:dyDescent="0.2">
      <c r="A17" s="137" t="s">
        <v>23</v>
      </c>
      <c r="C17" s="138">
        <v>0</v>
      </c>
      <c r="D17" s="138">
        <f>0.576/10^6*10^3</f>
        <v>5.7600000000000001E-4</v>
      </c>
      <c r="E17" s="138">
        <f>0.077/10^6*10^3</f>
        <v>7.7000000000000001E-5</v>
      </c>
      <c r="F17" s="138">
        <f t="shared" si="0"/>
        <v>3.9073999999999998E-2</v>
      </c>
      <c r="G17" t="s">
        <v>17</v>
      </c>
    </row>
    <row r="18" spans="1:7" x14ac:dyDescent="0.2">
      <c r="A18" s="137" t="s">
        <v>24</v>
      </c>
      <c r="C18">
        <f>1.51/1000</f>
        <v>1.5100000000000001E-3</v>
      </c>
      <c r="D18">
        <f>0.027/1000000</f>
        <v>2.7E-8</v>
      </c>
      <c r="E18">
        <f>0.108/1000000</f>
        <v>1.08E-7</v>
      </c>
      <c r="F18" s="138">
        <f t="shared" si="0"/>
        <v>1.54294E-3</v>
      </c>
      <c r="G18" t="s">
        <v>17</v>
      </c>
    </row>
    <row r="19" spans="1:7" ht="17" x14ac:dyDescent="0.2">
      <c r="A19" s="144" t="s">
        <v>301</v>
      </c>
      <c r="C19">
        <f>1.799/1000</f>
        <v>1.799E-3</v>
      </c>
      <c r="D19">
        <f>0.576/1000</f>
        <v>5.7599999999999991E-4</v>
      </c>
      <c r="E19">
        <f>0.077/1000</f>
        <v>7.7000000000000001E-5</v>
      </c>
      <c r="F19">
        <f>1.799/1000</f>
        <v>1.799E-3</v>
      </c>
      <c r="G19" s="145" t="s">
        <v>302</v>
      </c>
    </row>
    <row r="20" spans="1:7" x14ac:dyDescent="0.2">
      <c r="A20" s="134" t="s">
        <v>25</v>
      </c>
      <c r="B20" s="135"/>
      <c r="C20" s="136" t="s">
        <v>26</v>
      </c>
      <c r="D20" s="136" t="s">
        <v>27</v>
      </c>
      <c r="E20" s="136" t="s">
        <v>28</v>
      </c>
    </row>
    <row r="21" spans="1:7" x14ac:dyDescent="0.2">
      <c r="A21" s="137" t="s">
        <v>320</v>
      </c>
      <c r="C21" s="146">
        <v>2E-3</v>
      </c>
      <c r="D21" t="s">
        <v>541</v>
      </c>
      <c r="E21" t="s">
        <v>321</v>
      </c>
    </row>
    <row r="22" spans="1:7" ht="20" x14ac:dyDescent="0.25">
      <c r="A22" s="137" t="s">
        <v>29</v>
      </c>
      <c r="C22">
        <v>148</v>
      </c>
      <c r="D22" t="s">
        <v>448</v>
      </c>
      <c r="E22" t="s">
        <v>30</v>
      </c>
    </row>
    <row r="23" spans="1:7" ht="20" x14ac:dyDescent="0.25">
      <c r="A23" s="137" t="s">
        <v>31</v>
      </c>
      <c r="C23">
        <v>1760</v>
      </c>
      <c r="D23" t="s">
        <v>448</v>
      </c>
      <c r="E23" t="s">
        <v>30</v>
      </c>
    </row>
    <row r="24" spans="1:7" ht="20" x14ac:dyDescent="0.25">
      <c r="A24" s="137" t="s">
        <v>32</v>
      </c>
      <c r="C24">
        <v>79</v>
      </c>
      <c r="D24" t="s">
        <v>448</v>
      </c>
      <c r="E24" t="s">
        <v>30</v>
      </c>
    </row>
    <row r="25" spans="1:7" ht="20" x14ac:dyDescent="0.25">
      <c r="A25" s="137" t="s">
        <v>33</v>
      </c>
      <c r="C25">
        <v>527</v>
      </c>
      <c r="D25" t="s">
        <v>448</v>
      </c>
      <c r="E25" t="s">
        <v>30</v>
      </c>
    </row>
    <row r="26" spans="1:7" ht="20" x14ac:dyDescent="0.25">
      <c r="A26" s="137" t="s">
        <v>34</v>
      </c>
      <c r="C26">
        <v>782</v>
      </c>
      <c r="D26" t="s">
        <v>448</v>
      </c>
      <c r="E26" t="s">
        <v>30</v>
      </c>
    </row>
    <row r="27" spans="1:7" ht="20" x14ac:dyDescent="0.25">
      <c r="A27" s="137" t="s">
        <v>35</v>
      </c>
      <c r="C27">
        <v>1980</v>
      </c>
      <c r="D27" t="s">
        <v>448</v>
      </c>
      <c r="E27" t="s">
        <v>30</v>
      </c>
    </row>
    <row r="28" spans="1:7" ht="20" x14ac:dyDescent="0.25">
      <c r="A28" s="137" t="s">
        <v>36</v>
      </c>
      <c r="C28">
        <v>127</v>
      </c>
      <c r="D28" t="s">
        <v>448</v>
      </c>
      <c r="E28" t="s">
        <v>30</v>
      </c>
    </row>
    <row r="29" spans="1:7" ht="20" x14ac:dyDescent="0.25">
      <c r="A29" s="137" t="s">
        <v>37</v>
      </c>
      <c r="C29">
        <v>525</v>
      </c>
      <c r="D29" t="s">
        <v>448</v>
      </c>
      <c r="E29" t="s">
        <v>30</v>
      </c>
    </row>
    <row r="30" spans="1:7" ht="20" x14ac:dyDescent="0.25">
      <c r="A30" s="137" t="s">
        <v>38</v>
      </c>
      <c r="C30">
        <v>12400</v>
      </c>
      <c r="D30" t="s">
        <v>448</v>
      </c>
      <c r="E30" t="s">
        <v>30</v>
      </c>
    </row>
    <row r="31" spans="1:7" ht="20" x14ac:dyDescent="0.25">
      <c r="A31" s="137" t="s">
        <v>39</v>
      </c>
      <c r="C31">
        <v>677</v>
      </c>
      <c r="D31" t="s">
        <v>448</v>
      </c>
      <c r="E31" t="s">
        <v>30</v>
      </c>
    </row>
    <row r="32" spans="1:7" ht="20" x14ac:dyDescent="0.25">
      <c r="A32" s="137" t="s">
        <v>40</v>
      </c>
      <c r="C32">
        <v>116</v>
      </c>
      <c r="D32" t="s">
        <v>448</v>
      </c>
      <c r="E32" t="s">
        <v>30</v>
      </c>
    </row>
    <row r="33" spans="1:5" ht="20" x14ac:dyDescent="0.25">
      <c r="A33" s="137" t="s">
        <v>41</v>
      </c>
      <c r="C33">
        <v>3170</v>
      </c>
      <c r="D33" t="s">
        <v>448</v>
      </c>
      <c r="E33" t="s">
        <v>30</v>
      </c>
    </row>
    <row r="34" spans="1:5" ht="20" x14ac:dyDescent="0.25">
      <c r="A34" s="137" t="s">
        <v>42</v>
      </c>
      <c r="C34">
        <v>1120</v>
      </c>
      <c r="D34" t="s">
        <v>448</v>
      </c>
      <c r="E34" t="s">
        <v>30</v>
      </c>
    </row>
    <row r="35" spans="1:5" ht="20" x14ac:dyDescent="0.25">
      <c r="A35" s="137" t="s">
        <v>43</v>
      </c>
      <c r="C35">
        <v>1300</v>
      </c>
      <c r="D35" t="s">
        <v>448</v>
      </c>
      <c r="E35" t="s">
        <v>30</v>
      </c>
    </row>
    <row r="36" spans="1:5" ht="20" x14ac:dyDescent="0.25">
      <c r="A36" s="137" t="s">
        <v>44</v>
      </c>
      <c r="C36">
        <v>328</v>
      </c>
      <c r="D36" t="s">
        <v>448</v>
      </c>
      <c r="E36" t="s">
        <v>30</v>
      </c>
    </row>
    <row r="37" spans="1:5" ht="20" x14ac:dyDescent="0.25">
      <c r="A37" s="137" t="s">
        <v>45</v>
      </c>
      <c r="C37">
        <v>4800</v>
      </c>
      <c r="D37" t="s">
        <v>448</v>
      </c>
      <c r="E37" t="s">
        <v>30</v>
      </c>
    </row>
    <row r="38" spans="1:5" ht="20" x14ac:dyDescent="0.25">
      <c r="A38" s="137" t="s">
        <v>46</v>
      </c>
      <c r="C38">
        <v>16</v>
      </c>
      <c r="D38" t="s">
        <v>448</v>
      </c>
      <c r="E38" t="s">
        <v>30</v>
      </c>
    </row>
    <row r="39" spans="1:5" ht="20" x14ac:dyDescent="0.25">
      <c r="A39" s="137" t="s">
        <v>47</v>
      </c>
      <c r="C39">
        <v>138</v>
      </c>
      <c r="D39" t="s">
        <v>448</v>
      </c>
      <c r="E39" t="s">
        <v>30</v>
      </c>
    </row>
    <row r="40" spans="1:5" ht="20" x14ac:dyDescent="0.25">
      <c r="A40" s="137" t="s">
        <v>48</v>
      </c>
      <c r="C40">
        <v>4</v>
      </c>
      <c r="D40" t="s">
        <v>448</v>
      </c>
      <c r="E40" t="s">
        <v>30</v>
      </c>
    </row>
    <row r="41" spans="1:5" ht="20" x14ac:dyDescent="0.25">
      <c r="A41" s="137" t="s">
        <v>49</v>
      </c>
      <c r="C41">
        <v>3350</v>
      </c>
      <c r="D41" t="s">
        <v>448</v>
      </c>
      <c r="E41" t="s">
        <v>30</v>
      </c>
    </row>
    <row r="42" spans="1:5" ht="20" x14ac:dyDescent="0.25">
      <c r="A42" s="137" t="s">
        <v>50</v>
      </c>
      <c r="C42">
        <v>1210</v>
      </c>
      <c r="D42" t="s">
        <v>448</v>
      </c>
      <c r="E42" t="s">
        <v>30</v>
      </c>
    </row>
    <row r="43" spans="1:5" ht="20" x14ac:dyDescent="0.25">
      <c r="A43" s="137" t="s">
        <v>51</v>
      </c>
      <c r="C43">
        <v>1330</v>
      </c>
      <c r="D43" t="s">
        <v>448</v>
      </c>
      <c r="E43" t="s">
        <v>30</v>
      </c>
    </row>
    <row r="44" spans="1:5" ht="20" x14ac:dyDescent="0.25">
      <c r="A44" s="137" t="s">
        <v>52</v>
      </c>
      <c r="C44">
        <v>8060</v>
      </c>
      <c r="D44" t="s">
        <v>448</v>
      </c>
      <c r="E44" t="s">
        <v>30</v>
      </c>
    </row>
    <row r="45" spans="1:5" ht="20" x14ac:dyDescent="0.25">
      <c r="A45" s="137" t="s">
        <v>53</v>
      </c>
      <c r="C45">
        <v>716</v>
      </c>
      <c r="D45" t="s">
        <v>448</v>
      </c>
      <c r="E45" t="s">
        <v>30</v>
      </c>
    </row>
    <row r="46" spans="1:5" ht="20" x14ac:dyDescent="0.25">
      <c r="A46" s="137" t="s">
        <v>54</v>
      </c>
      <c r="C46">
        <v>858</v>
      </c>
      <c r="D46" t="s">
        <v>448</v>
      </c>
      <c r="E46" t="s">
        <v>30</v>
      </c>
    </row>
    <row r="47" spans="1:5" ht="20" x14ac:dyDescent="0.25">
      <c r="A47" s="137" t="s">
        <v>55</v>
      </c>
      <c r="C47">
        <v>804</v>
      </c>
      <c r="D47" t="s">
        <v>448</v>
      </c>
      <c r="E47" t="s">
        <v>30</v>
      </c>
    </row>
    <row r="48" spans="1:5" ht="20" x14ac:dyDescent="0.25">
      <c r="A48" s="137" t="s">
        <v>56</v>
      </c>
      <c r="C48">
        <v>1650</v>
      </c>
      <c r="D48" t="s">
        <v>448</v>
      </c>
      <c r="E48" t="s">
        <v>30</v>
      </c>
    </row>
    <row r="49" spans="1:5" ht="20" x14ac:dyDescent="0.25">
      <c r="A49" t="s">
        <v>57</v>
      </c>
      <c r="C49">
        <v>4210</v>
      </c>
      <c r="D49" t="s">
        <v>448</v>
      </c>
      <c r="E49" s="147" t="s">
        <v>58</v>
      </c>
    </row>
    <row r="50" spans="1:5" ht="20" x14ac:dyDescent="0.25">
      <c r="A50" t="s">
        <v>59</v>
      </c>
      <c r="C50">
        <v>2070</v>
      </c>
      <c r="D50" t="s">
        <v>448</v>
      </c>
      <c r="E50" s="147" t="s">
        <v>58</v>
      </c>
    </row>
    <row r="51" spans="1:5" ht="20" x14ac:dyDescent="0.25">
      <c r="A51" t="s">
        <v>60</v>
      </c>
      <c r="C51">
        <v>1730</v>
      </c>
      <c r="D51" t="s">
        <v>448</v>
      </c>
      <c r="E51" s="147" t="s">
        <v>58</v>
      </c>
    </row>
    <row r="52" spans="1:5" ht="20" x14ac:dyDescent="0.25">
      <c r="A52" t="s">
        <v>61</v>
      </c>
      <c r="C52">
        <v>1790</v>
      </c>
      <c r="D52" t="s">
        <v>448</v>
      </c>
      <c r="E52" s="147" t="s">
        <v>58</v>
      </c>
    </row>
    <row r="53" spans="1:5" ht="20" x14ac:dyDescent="0.25">
      <c r="A53" t="s">
        <v>62</v>
      </c>
      <c r="C53">
        <v>2080</v>
      </c>
      <c r="D53" t="s">
        <v>448</v>
      </c>
      <c r="E53" s="147" t="s">
        <v>58</v>
      </c>
    </row>
    <row r="54" spans="1:5" ht="20" x14ac:dyDescent="0.25">
      <c r="A54" t="s">
        <v>63</v>
      </c>
      <c r="C54">
        <v>480</v>
      </c>
      <c r="D54" t="s">
        <v>448</v>
      </c>
      <c r="E54" s="147" t="s">
        <v>58</v>
      </c>
    </row>
    <row r="55" spans="1:5" ht="20" x14ac:dyDescent="0.25">
      <c r="A55" t="s">
        <v>64</v>
      </c>
      <c r="C55">
        <v>600</v>
      </c>
      <c r="D55" t="s">
        <v>448</v>
      </c>
      <c r="E55" s="147" t="s">
        <v>58</v>
      </c>
    </row>
    <row r="56" spans="1:5" ht="33" customHeight="1" x14ac:dyDescent="0.25">
      <c r="A56" s="148" t="s">
        <v>65</v>
      </c>
      <c r="C56">
        <v>1370</v>
      </c>
      <c r="D56" t="s">
        <v>448</v>
      </c>
      <c r="E56" s="147" t="s">
        <v>58</v>
      </c>
    </row>
    <row r="57" spans="1:5" ht="20" x14ac:dyDescent="0.25">
      <c r="A57" t="s">
        <v>66</v>
      </c>
      <c r="C57">
        <v>1370</v>
      </c>
      <c r="D57" t="s">
        <v>448</v>
      </c>
      <c r="E57" s="147" t="s">
        <v>58</v>
      </c>
    </row>
    <row r="58" spans="1:5" ht="20" x14ac:dyDescent="0.25">
      <c r="A58" t="s">
        <v>67</v>
      </c>
      <c r="C58">
        <v>1390</v>
      </c>
      <c r="D58" t="s">
        <v>448</v>
      </c>
      <c r="E58" s="147" t="s">
        <v>58</v>
      </c>
    </row>
    <row r="59" spans="1:5" ht="20" x14ac:dyDescent="0.25">
      <c r="A59" t="s">
        <v>68</v>
      </c>
      <c r="C59">
        <v>570</v>
      </c>
      <c r="D59" t="s">
        <v>448</v>
      </c>
      <c r="E59" s="147" t="s">
        <v>58</v>
      </c>
    </row>
    <row r="60" spans="1:5" ht="20" x14ac:dyDescent="0.25">
      <c r="A60" t="s">
        <v>69</v>
      </c>
      <c r="C60">
        <v>715</v>
      </c>
      <c r="D60" t="s">
        <v>448</v>
      </c>
      <c r="E60" s="147" t="s">
        <v>58</v>
      </c>
    </row>
    <row r="61" spans="1:5" ht="20" x14ac:dyDescent="0.25">
      <c r="A61" t="s">
        <v>70</v>
      </c>
      <c r="C61">
        <v>480</v>
      </c>
      <c r="D61" t="s">
        <v>448</v>
      </c>
      <c r="E61" s="147" t="s">
        <v>58</v>
      </c>
    </row>
    <row r="62" spans="1:5" ht="20" x14ac:dyDescent="0.25">
      <c r="A62" t="s">
        <v>71</v>
      </c>
      <c r="C62">
        <v>600</v>
      </c>
      <c r="D62" t="s">
        <v>448</v>
      </c>
      <c r="E62" s="147" t="s">
        <v>58</v>
      </c>
    </row>
    <row r="63" spans="1:5" ht="20" x14ac:dyDescent="0.25">
      <c r="A63" t="s">
        <v>72</v>
      </c>
      <c r="C63">
        <v>510</v>
      </c>
      <c r="D63" t="s">
        <v>448</v>
      </c>
      <c r="E63" s="147" t="s">
        <v>58</v>
      </c>
    </row>
    <row r="64" spans="1:5" ht="20" x14ac:dyDescent="0.25">
      <c r="A64" t="s">
        <v>73</v>
      </c>
      <c r="C64">
        <v>515</v>
      </c>
      <c r="D64" t="s">
        <v>448</v>
      </c>
      <c r="E64" s="147" t="s">
        <v>58</v>
      </c>
    </row>
    <row r="65" spans="1:5" ht="20" x14ac:dyDescent="0.25">
      <c r="A65" t="s">
        <v>74</v>
      </c>
      <c r="C65">
        <v>515</v>
      </c>
      <c r="D65" t="s">
        <v>448</v>
      </c>
      <c r="E65" s="147" t="s">
        <v>58</v>
      </c>
    </row>
    <row r="66" spans="1:5" ht="20" x14ac:dyDescent="0.25">
      <c r="A66" t="s">
        <v>75</v>
      </c>
      <c r="C66">
        <v>490</v>
      </c>
      <c r="D66" t="s">
        <v>448</v>
      </c>
      <c r="E66" s="147" t="s">
        <v>58</v>
      </c>
    </row>
    <row r="67" spans="1:5" ht="20" x14ac:dyDescent="0.25">
      <c r="A67" t="s">
        <v>76</v>
      </c>
      <c r="C67">
        <v>282</v>
      </c>
      <c r="D67" t="s">
        <v>448</v>
      </c>
      <c r="E67" s="147" t="s">
        <v>58</v>
      </c>
    </row>
    <row r="68" spans="1:5" ht="20" x14ac:dyDescent="0.25">
      <c r="A68" t="s">
        <v>77</v>
      </c>
      <c r="C68">
        <v>615</v>
      </c>
      <c r="D68" t="s">
        <v>448</v>
      </c>
      <c r="E68" s="147" t="s">
        <v>58</v>
      </c>
    </row>
    <row r="69" spans="1:5" ht="20" x14ac:dyDescent="0.25">
      <c r="A69" t="s">
        <v>78</v>
      </c>
      <c r="C69">
        <v>425</v>
      </c>
      <c r="D69" t="s">
        <v>448</v>
      </c>
      <c r="E69" s="147" t="s">
        <v>58</v>
      </c>
    </row>
    <row r="71" spans="1:5" x14ac:dyDescent="0.2">
      <c r="A71" s="134" t="s">
        <v>79</v>
      </c>
      <c r="B71" s="134"/>
      <c r="C71" s="134" t="s">
        <v>299</v>
      </c>
      <c r="D71" s="134" t="s">
        <v>28</v>
      </c>
    </row>
    <row r="72" spans="1:5" x14ac:dyDescent="0.2">
      <c r="A72" s="137" t="s">
        <v>80</v>
      </c>
      <c r="B72" t="s">
        <v>81</v>
      </c>
      <c r="C72" s="149">
        <v>1.9999999999999999E-6</v>
      </c>
      <c r="D72" t="s">
        <v>82</v>
      </c>
      <c r="E72" t="s">
        <v>241</v>
      </c>
    </row>
    <row r="73" spans="1:5" x14ac:dyDescent="0.2">
      <c r="A73" t="s">
        <v>83</v>
      </c>
      <c r="B73" t="s">
        <v>84</v>
      </c>
      <c r="C73">
        <v>1.889</v>
      </c>
      <c r="D73" t="s">
        <v>85</v>
      </c>
      <c r="E73" t="s">
        <v>241</v>
      </c>
    </row>
    <row r="74" spans="1:5" x14ac:dyDescent="0.2">
      <c r="A74" t="s">
        <v>240</v>
      </c>
      <c r="B74" t="s">
        <v>342</v>
      </c>
      <c r="C74" s="150">
        <v>0.26179999999999998</v>
      </c>
      <c r="D74" t="s">
        <v>340</v>
      </c>
      <c r="E74" t="s">
        <v>341</v>
      </c>
    </row>
    <row r="75" spans="1:5" x14ac:dyDescent="0.2">
      <c r="A75" s="151" t="s">
        <v>86</v>
      </c>
      <c r="B75" s="151" t="s">
        <v>359</v>
      </c>
      <c r="C75" s="151" t="s">
        <v>547</v>
      </c>
      <c r="D75" s="151" t="s">
        <v>87</v>
      </c>
      <c r="E75" s="143" t="s">
        <v>28</v>
      </c>
    </row>
    <row r="76" spans="1:5" x14ac:dyDescent="0.2">
      <c r="A76" t="s">
        <v>354</v>
      </c>
      <c r="B76">
        <f>0.000531622*14</f>
        <v>7.442708000000001E-3</v>
      </c>
      <c r="C76">
        <f>0.6/1000*14/1000</f>
        <v>8.3999999999999992E-6</v>
      </c>
      <c r="D76" t="s">
        <v>546</v>
      </c>
      <c r="E76" t="s">
        <v>90</v>
      </c>
    </row>
    <row r="77" spans="1:5" x14ac:dyDescent="0.2">
      <c r="A77" t="s">
        <v>355</v>
      </c>
      <c r="B77">
        <f>0.000619652*14</f>
        <v>8.6751280000000007E-3</v>
      </c>
      <c r="C77">
        <f t="shared" ref="C77:C78" si="1">0.6/1000*14/1000</f>
        <v>8.3999999999999992E-6</v>
      </c>
      <c r="D77" t="s">
        <v>546</v>
      </c>
      <c r="E77" t="s">
        <v>92</v>
      </c>
    </row>
    <row r="78" spans="1:5" x14ac:dyDescent="0.2">
      <c r="A78" t="s">
        <v>356</v>
      </c>
      <c r="B78">
        <f>0.00001*14</f>
        <v>1.4000000000000001E-4</v>
      </c>
      <c r="C78">
        <f t="shared" si="1"/>
        <v>8.3999999999999992E-6</v>
      </c>
      <c r="D78" t="s">
        <v>546</v>
      </c>
      <c r="E78" t="s">
        <v>94</v>
      </c>
    </row>
    <row r="79" spans="1:5" x14ac:dyDescent="0.2">
      <c r="A79" t="s">
        <v>357</v>
      </c>
      <c r="B79">
        <f>0.000014*30</f>
        <v>4.2000000000000002E-4</v>
      </c>
      <c r="C79">
        <f>0.6/1000*30/1000</f>
        <v>1.7999999999999997E-5</v>
      </c>
      <c r="D79" t="s">
        <v>546</v>
      </c>
      <c r="E79" t="s">
        <v>94</v>
      </c>
    </row>
    <row r="81" spans="1:5" x14ac:dyDescent="0.2">
      <c r="A81" s="135" t="s">
        <v>95</v>
      </c>
      <c r="B81" s="114"/>
      <c r="C81" s="114"/>
      <c r="D81" s="114"/>
      <c r="E81" s="114"/>
    </row>
    <row r="82" spans="1:5" x14ac:dyDescent="0.2">
      <c r="A82" s="150" t="s">
        <v>96</v>
      </c>
      <c r="C82">
        <f>AVERAGE(1.35,6.29,0.51)/1000</f>
        <v>2.7166666666666667E-3</v>
      </c>
      <c r="D82" t="s">
        <v>97</v>
      </c>
      <c r="E82" s="145" t="s">
        <v>98</v>
      </c>
    </row>
    <row r="85" spans="1:5" x14ac:dyDescent="0.2">
      <c r="A85" s="134" t="s">
        <v>99</v>
      </c>
      <c r="B85" s="134" t="s">
        <v>100</v>
      </c>
      <c r="C85" s="134" t="s">
        <v>299</v>
      </c>
      <c r="D85" s="134" t="s">
        <v>101</v>
      </c>
      <c r="E85" s="134" t="s">
        <v>28</v>
      </c>
    </row>
    <row r="86" spans="1:5" ht="35" x14ac:dyDescent="0.25">
      <c r="A86" t="s">
        <v>102</v>
      </c>
      <c r="B86" t="s">
        <v>530</v>
      </c>
      <c r="C86">
        <f>0.17/1000</f>
        <v>1.7000000000000001E-4</v>
      </c>
      <c r="D86">
        <v>1</v>
      </c>
      <c r="E86" s="148" t="s">
        <v>552</v>
      </c>
    </row>
    <row r="87" spans="1:5" ht="35" x14ac:dyDescent="0.25">
      <c r="A87" t="s">
        <v>103</v>
      </c>
      <c r="B87" t="s">
        <v>530</v>
      </c>
      <c r="C87">
        <f>0.12/1000</f>
        <v>1.1999999999999999E-4</v>
      </c>
      <c r="D87">
        <v>1</v>
      </c>
      <c r="E87" s="148" t="s">
        <v>552</v>
      </c>
    </row>
    <row r="88" spans="1:5" ht="20" x14ac:dyDescent="0.25">
      <c r="A88" t="s">
        <v>591</v>
      </c>
      <c r="B88" t="s">
        <v>531</v>
      </c>
      <c r="C88" s="208">
        <f>0.0801/1000</f>
        <v>8.0100000000000009E-5</v>
      </c>
      <c r="D88">
        <v>1</v>
      </c>
      <c r="E88" t="s">
        <v>551</v>
      </c>
    </row>
    <row r="89" spans="1:5" ht="20" x14ac:dyDescent="0.25">
      <c r="A89" t="s">
        <v>303</v>
      </c>
      <c r="B89" t="s">
        <v>532</v>
      </c>
      <c r="C89">
        <f>0.0289/1000</f>
        <v>2.8899999999999998E-5</v>
      </c>
      <c r="D89">
        <v>1</v>
      </c>
      <c r="E89" t="s">
        <v>550</v>
      </c>
    </row>
    <row r="90" spans="1:5" ht="20" x14ac:dyDescent="0.25">
      <c r="A90" t="s">
        <v>104</v>
      </c>
      <c r="B90" t="s">
        <v>548</v>
      </c>
      <c r="C90">
        <f>0.21/1000</f>
        <v>2.0999999999999998E-4</v>
      </c>
      <c r="D90">
        <v>0</v>
      </c>
      <c r="E90" t="s">
        <v>105</v>
      </c>
    </row>
    <row r="91" spans="1:5" ht="20" x14ac:dyDescent="0.25">
      <c r="A91" t="s">
        <v>106</v>
      </c>
      <c r="B91" t="s">
        <v>548</v>
      </c>
      <c r="C91" s="208">
        <f>0.10224755/1000</f>
        <v>1.0224755000000001E-4</v>
      </c>
      <c r="D91">
        <v>0</v>
      </c>
      <c r="E91" t="s">
        <v>107</v>
      </c>
    </row>
    <row r="92" spans="1:5" ht="20" x14ac:dyDescent="0.25">
      <c r="A92" t="s">
        <v>108</v>
      </c>
      <c r="B92" t="s">
        <v>548</v>
      </c>
      <c r="C92" s="208">
        <f>0.07267/1000</f>
        <v>7.2669999999999994E-5</v>
      </c>
      <c r="D92">
        <v>0</v>
      </c>
      <c r="E92" t="s">
        <v>109</v>
      </c>
    </row>
    <row r="93" spans="1:5" ht="20" x14ac:dyDescent="0.25">
      <c r="A93" t="s">
        <v>110</v>
      </c>
      <c r="B93" t="s">
        <v>548</v>
      </c>
      <c r="C93" s="208">
        <f>0.3091205/1000</f>
        <v>3.0912050000000003E-4</v>
      </c>
      <c r="D93">
        <v>0</v>
      </c>
      <c r="E93" t="s">
        <v>111</v>
      </c>
    </row>
    <row r="94" spans="1:5" ht="20" x14ac:dyDescent="0.25">
      <c r="A94" t="s">
        <v>112</v>
      </c>
      <c r="B94" t="s">
        <v>548</v>
      </c>
      <c r="C94" s="208">
        <f>0.34003255/1000</f>
        <v>3.4003255000000001E-4</v>
      </c>
      <c r="D94">
        <v>0</v>
      </c>
      <c r="E94" t="s">
        <v>113</v>
      </c>
    </row>
    <row r="95" spans="1:5" ht="20" x14ac:dyDescent="0.25">
      <c r="A95" t="s">
        <v>114</v>
      </c>
      <c r="B95" t="s">
        <v>533</v>
      </c>
      <c r="C95" s="208">
        <f>0.1161/1000</f>
        <v>1.1609999999999999E-4</v>
      </c>
      <c r="D95">
        <v>0</v>
      </c>
      <c r="E95" t="s">
        <v>115</v>
      </c>
    </row>
    <row r="96" spans="1:5" ht="35" x14ac:dyDescent="0.25">
      <c r="A96" t="s">
        <v>116</v>
      </c>
      <c r="B96" t="s">
        <v>532</v>
      </c>
      <c r="C96" s="208">
        <f>0.081/1000</f>
        <v>8.1000000000000004E-5</v>
      </c>
      <c r="D96">
        <v>1</v>
      </c>
      <c r="E96" s="148" t="s">
        <v>549</v>
      </c>
    </row>
    <row r="97" spans="1:10" ht="20" x14ac:dyDescent="0.25">
      <c r="A97" t="s">
        <v>118</v>
      </c>
      <c r="B97" t="s">
        <v>532</v>
      </c>
      <c r="C97">
        <v>0</v>
      </c>
      <c r="D97">
        <v>1</v>
      </c>
      <c r="E97" t="s">
        <v>117</v>
      </c>
    </row>
    <row r="98" spans="1:10" ht="20" x14ac:dyDescent="0.25">
      <c r="A98" t="s">
        <v>119</v>
      </c>
      <c r="B98" t="s">
        <v>531</v>
      </c>
      <c r="C98">
        <v>5.0000000000000002E-5</v>
      </c>
      <c r="D98">
        <v>1</v>
      </c>
      <c r="E98" t="s">
        <v>120</v>
      </c>
    </row>
    <row r="99" spans="1:10" ht="16.25" customHeight="1" x14ac:dyDescent="0.2">
      <c r="A99" t="s">
        <v>121</v>
      </c>
      <c r="B99" t="s">
        <v>534</v>
      </c>
      <c r="C99" s="209">
        <f>1.271/1000</f>
        <v>1.271E-3</v>
      </c>
      <c r="D99">
        <v>1</v>
      </c>
      <c r="E99" s="148" t="s">
        <v>122</v>
      </c>
    </row>
    <row r="100" spans="1:10" ht="16.25" customHeight="1" x14ac:dyDescent="0.2">
      <c r="A100" t="s">
        <v>305</v>
      </c>
      <c r="B100" t="s">
        <v>535</v>
      </c>
      <c r="C100" s="209">
        <v>6.0000000000000002E-5</v>
      </c>
      <c r="D100">
        <v>1</v>
      </c>
      <c r="E100" s="152" t="s">
        <v>306</v>
      </c>
    </row>
    <row r="101" spans="1:10" x14ac:dyDescent="0.2">
      <c r="A101" s="286" t="s">
        <v>123</v>
      </c>
      <c r="B101" s="286"/>
      <c r="C101" s="286"/>
      <c r="D101" s="286"/>
      <c r="E101" s="286"/>
      <c r="F101" s="286"/>
      <c r="G101" s="286"/>
      <c r="H101" s="286"/>
      <c r="I101" s="286"/>
      <c r="J101" s="286"/>
    </row>
    <row r="102" spans="1:10" x14ac:dyDescent="0.2">
      <c r="A102" s="135" t="s">
        <v>124</v>
      </c>
      <c r="B102" s="114"/>
      <c r="C102" s="135" t="s">
        <v>300</v>
      </c>
      <c r="D102" s="135"/>
      <c r="E102" s="135" t="s">
        <v>28</v>
      </c>
    </row>
    <row r="103" spans="1:10" x14ac:dyDescent="0.2">
      <c r="A103" t="s">
        <v>125</v>
      </c>
      <c r="C103">
        <v>1.32</v>
      </c>
      <c r="D103" t="s">
        <v>126</v>
      </c>
      <c r="E103" t="s">
        <v>127</v>
      </c>
    </row>
    <row r="104" spans="1:10" x14ac:dyDescent="0.2">
      <c r="A104" t="s">
        <v>128</v>
      </c>
      <c r="C104">
        <f>35/1000000</f>
        <v>3.4999999999999997E-5</v>
      </c>
      <c r="D104" t="s">
        <v>129</v>
      </c>
      <c r="E104" t="s">
        <v>127</v>
      </c>
    </row>
    <row r="105" spans="1:10" x14ac:dyDescent="0.2">
      <c r="A105" t="s">
        <v>130</v>
      </c>
      <c r="C105">
        <f>42/1000</f>
        <v>4.2000000000000003E-2</v>
      </c>
      <c r="D105" t="s">
        <v>131</v>
      </c>
      <c r="E105" s="145" t="s">
        <v>132</v>
      </c>
    </row>
    <row r="106" spans="1:10" ht="19" x14ac:dyDescent="0.2">
      <c r="A106" s="153" t="s">
        <v>133</v>
      </c>
      <c r="B106" t="s">
        <v>134</v>
      </c>
      <c r="C106">
        <f>0.68/1000</f>
        <v>6.8000000000000005E-4</v>
      </c>
      <c r="D106" t="s">
        <v>449</v>
      </c>
      <c r="E106" t="s">
        <v>135</v>
      </c>
    </row>
    <row r="107" spans="1:10" ht="19" x14ac:dyDescent="0.2">
      <c r="A107" s="153" t="s">
        <v>136</v>
      </c>
      <c r="B107" t="s">
        <v>137</v>
      </c>
      <c r="C107">
        <f>2.057/1000</f>
        <v>2.0569999999999998E-3</v>
      </c>
      <c r="D107" t="s">
        <v>449</v>
      </c>
      <c r="E107" t="s">
        <v>138</v>
      </c>
    </row>
    <row r="108" spans="1:10" ht="19" x14ac:dyDescent="0.2">
      <c r="A108" s="153" t="s">
        <v>139</v>
      </c>
      <c r="B108" t="s">
        <v>140</v>
      </c>
      <c r="C108">
        <f>7.26/1000</f>
        <v>7.26E-3</v>
      </c>
      <c r="D108" t="s">
        <v>449</v>
      </c>
      <c r="E108" t="s">
        <v>138</v>
      </c>
    </row>
    <row r="109" spans="1:10" ht="19" x14ac:dyDescent="0.2">
      <c r="A109" s="153" t="s">
        <v>141</v>
      </c>
      <c r="B109" t="s">
        <v>142</v>
      </c>
      <c r="C109">
        <f>1.754/1000</f>
        <v>1.7539999999999999E-3</v>
      </c>
      <c r="D109" t="s">
        <v>449</v>
      </c>
      <c r="E109" t="s">
        <v>138</v>
      </c>
    </row>
    <row r="110" spans="1:10" ht="19" x14ac:dyDescent="0.2">
      <c r="A110" s="153" t="s">
        <v>143</v>
      </c>
      <c r="B110" t="s">
        <v>144</v>
      </c>
      <c r="C110">
        <f>3.852/1000</f>
        <v>3.852E-3</v>
      </c>
      <c r="D110" t="s">
        <v>449</v>
      </c>
      <c r="E110" t="s">
        <v>138</v>
      </c>
    </row>
    <row r="111" spans="1:10" x14ac:dyDescent="0.2">
      <c r="A111" s="135" t="s">
        <v>310</v>
      </c>
      <c r="B111" s="114"/>
      <c r="C111" s="114"/>
      <c r="D111" s="114"/>
      <c r="E111" s="114"/>
    </row>
    <row r="112" spans="1:10" x14ac:dyDescent="0.2">
      <c r="A112" t="s">
        <v>307</v>
      </c>
      <c r="B112" s="154">
        <f>2.72/1000</f>
        <v>2.7200000000000002E-3</v>
      </c>
      <c r="C112" s="155" t="s">
        <v>89</v>
      </c>
      <c r="D112" s="145" t="s">
        <v>360</v>
      </c>
    </row>
    <row r="113" spans="1:5" x14ac:dyDescent="0.2">
      <c r="A113" t="s">
        <v>308</v>
      </c>
      <c r="B113" s="154">
        <f>2.72/1000</f>
        <v>2.7200000000000002E-3</v>
      </c>
      <c r="C113" s="155" t="s">
        <v>89</v>
      </c>
      <c r="D113" s="145" t="s">
        <v>360</v>
      </c>
      <c r="E113" s="145"/>
    </row>
    <row r="114" spans="1:5" x14ac:dyDescent="0.2">
      <c r="A114" t="s">
        <v>311</v>
      </c>
      <c r="B114">
        <f>0.535/1000</f>
        <v>5.3499999999999999E-4</v>
      </c>
      <c r="C114" s="155" t="s">
        <v>89</v>
      </c>
      <c r="D114" t="s">
        <v>361</v>
      </c>
    </row>
    <row r="115" spans="1:5" x14ac:dyDescent="0.2">
      <c r="A115" t="s">
        <v>362</v>
      </c>
      <c r="B115">
        <f>0.637/1000</f>
        <v>6.3699999999999998E-4</v>
      </c>
      <c r="C115" t="s">
        <v>89</v>
      </c>
      <c r="D115" t="s">
        <v>361</v>
      </c>
    </row>
    <row r="116" spans="1:5" x14ac:dyDescent="0.2">
      <c r="A116" s="135" t="s">
        <v>312</v>
      </c>
      <c r="B116" s="114"/>
      <c r="C116" s="114"/>
      <c r="D116" s="114"/>
      <c r="E116" s="114"/>
    </row>
    <row r="117" spans="1:5" x14ac:dyDescent="0.2">
      <c r="A117" t="s">
        <v>309</v>
      </c>
      <c r="B117">
        <v>2.3499999999999999E-6</v>
      </c>
      <c r="C117" t="s">
        <v>456</v>
      </c>
      <c r="D117" t="s">
        <v>361</v>
      </c>
      <c r="E117" t="s">
        <v>457</v>
      </c>
    </row>
    <row r="118" spans="1:5" x14ac:dyDescent="0.2">
      <c r="A118" t="s">
        <v>363</v>
      </c>
      <c r="B118">
        <f>0.23/1000</f>
        <v>2.3000000000000001E-4</v>
      </c>
      <c r="C118" s="156" t="s">
        <v>364</v>
      </c>
      <c r="D118" t="s">
        <v>361</v>
      </c>
    </row>
    <row r="119" spans="1:5" x14ac:dyDescent="0.2">
      <c r="A119" t="s">
        <v>365</v>
      </c>
      <c r="B119">
        <f>0.2/1000</f>
        <v>2.0000000000000001E-4</v>
      </c>
      <c r="C119" s="156" t="s">
        <v>366</v>
      </c>
      <c r="D119" t="s">
        <v>361</v>
      </c>
    </row>
    <row r="120" spans="1:5" x14ac:dyDescent="0.2">
      <c r="A120" s="135" t="s">
        <v>367</v>
      </c>
      <c r="B120" s="114"/>
      <c r="C120" s="114"/>
      <c r="D120" s="114"/>
      <c r="E120" s="114"/>
    </row>
    <row r="121" spans="1:5" x14ac:dyDescent="0.2">
      <c r="A121" s="137" t="s">
        <v>159</v>
      </c>
      <c r="B121">
        <f>169/1000</f>
        <v>0.16900000000000001</v>
      </c>
      <c r="C121" t="s">
        <v>473</v>
      </c>
      <c r="D121" t="s">
        <v>361</v>
      </c>
      <c r="E121" t="s">
        <v>463</v>
      </c>
    </row>
    <row r="122" spans="1:5" x14ac:dyDescent="0.2">
      <c r="A122" s="137" t="s">
        <v>158</v>
      </c>
      <c r="B122">
        <f>124/1000</f>
        <v>0.124</v>
      </c>
      <c r="C122" t="s">
        <v>473</v>
      </c>
      <c r="D122" t="s">
        <v>361</v>
      </c>
      <c r="E122" t="s">
        <v>462</v>
      </c>
    </row>
    <row r="123" spans="1:5" x14ac:dyDescent="0.2">
      <c r="A123" t="s">
        <v>368</v>
      </c>
      <c r="B123">
        <f>80.2/1000</f>
        <v>8.0200000000000007E-2</v>
      </c>
      <c r="C123" t="s">
        <v>375</v>
      </c>
      <c r="D123" t="s">
        <v>361</v>
      </c>
      <c r="E123" t="s">
        <v>464</v>
      </c>
    </row>
    <row r="124" spans="1:5" x14ac:dyDescent="0.2">
      <c r="A124" t="s">
        <v>369</v>
      </c>
      <c r="B124">
        <f>60/1000</f>
        <v>0.06</v>
      </c>
      <c r="C124" t="s">
        <v>375</v>
      </c>
      <c r="D124" t="s">
        <v>361</v>
      </c>
      <c r="E124" t="s">
        <v>465</v>
      </c>
    </row>
    <row r="125" spans="1:5" x14ac:dyDescent="0.2">
      <c r="A125" t="s">
        <v>370</v>
      </c>
      <c r="B125">
        <f>24.8/1000</f>
        <v>2.4799999999999999E-2</v>
      </c>
      <c r="C125" t="s">
        <v>375</v>
      </c>
      <c r="D125" t="s">
        <v>361</v>
      </c>
      <c r="E125" t="s">
        <v>466</v>
      </c>
    </row>
    <row r="126" spans="1:5" x14ac:dyDescent="0.2">
      <c r="A126" t="s">
        <v>371</v>
      </c>
      <c r="B126">
        <f>60.1/1000</f>
        <v>6.0100000000000001E-2</v>
      </c>
      <c r="C126" t="s">
        <v>473</v>
      </c>
      <c r="D126" t="s">
        <v>361</v>
      </c>
      <c r="E126" t="s">
        <v>467</v>
      </c>
    </row>
    <row r="127" spans="1:5" x14ac:dyDescent="0.2">
      <c r="A127" s="137" t="s">
        <v>162</v>
      </c>
      <c r="B127">
        <f>63.2/1000</f>
        <v>6.3200000000000006E-2</v>
      </c>
      <c r="C127" t="s">
        <v>473</v>
      </c>
      <c r="D127" t="s">
        <v>361</v>
      </c>
      <c r="E127" s="155" t="s">
        <v>468</v>
      </c>
    </row>
    <row r="128" spans="1:5" x14ac:dyDescent="0.2">
      <c r="A128" s="137" t="s">
        <v>163</v>
      </c>
      <c r="B128">
        <f>40.9/1000</f>
        <v>4.0899999999999999E-2</v>
      </c>
      <c r="C128" t="s">
        <v>473</v>
      </c>
      <c r="D128" t="s">
        <v>361</v>
      </c>
      <c r="E128" s="155" t="s">
        <v>468</v>
      </c>
    </row>
    <row r="129" spans="1:5" x14ac:dyDescent="0.2">
      <c r="A129" s="137" t="s">
        <v>164</v>
      </c>
      <c r="B129">
        <f>82.2/1000</f>
        <v>8.2200000000000009E-2</v>
      </c>
      <c r="C129" t="s">
        <v>473</v>
      </c>
      <c r="D129" t="s">
        <v>361</v>
      </c>
      <c r="E129" s="155" t="s">
        <v>468</v>
      </c>
    </row>
    <row r="130" spans="1:5" x14ac:dyDescent="0.2">
      <c r="A130" s="137" t="s">
        <v>169</v>
      </c>
      <c r="B130">
        <f>38/1000</f>
        <v>3.7999999999999999E-2</v>
      </c>
      <c r="C130" t="s">
        <v>473</v>
      </c>
      <c r="D130" t="s">
        <v>361</v>
      </c>
      <c r="E130" t="s">
        <v>469</v>
      </c>
    </row>
    <row r="131" spans="1:5" x14ac:dyDescent="0.2">
      <c r="A131" s="137" t="s">
        <v>170</v>
      </c>
      <c r="B131">
        <f>883/1000</f>
        <v>0.88300000000000001</v>
      </c>
      <c r="C131" t="s">
        <v>473</v>
      </c>
      <c r="D131" t="s">
        <v>361</v>
      </c>
      <c r="E131" t="s">
        <v>470</v>
      </c>
    </row>
    <row r="132" spans="1:5" x14ac:dyDescent="0.2">
      <c r="A132" s="137" t="s">
        <v>372</v>
      </c>
      <c r="B132">
        <f>907/1000</f>
        <v>0.90700000000000003</v>
      </c>
      <c r="C132" t="s">
        <v>473</v>
      </c>
      <c r="D132" t="s">
        <v>361</v>
      </c>
      <c r="E132" t="s">
        <v>471</v>
      </c>
    </row>
    <row r="133" spans="1:5" ht="17" x14ac:dyDescent="0.2">
      <c r="A133" s="137" t="s">
        <v>160</v>
      </c>
      <c r="B133">
        <f>222/1000</f>
        <v>0.222</v>
      </c>
      <c r="C133" t="s">
        <v>473</v>
      </c>
      <c r="D133" t="s">
        <v>361</v>
      </c>
      <c r="E133" s="157" t="s">
        <v>472</v>
      </c>
    </row>
    <row r="134" spans="1:5" ht="17" x14ac:dyDescent="0.2">
      <c r="A134" s="137" t="s">
        <v>161</v>
      </c>
      <c r="B134">
        <f>248/1000</f>
        <v>0.248</v>
      </c>
      <c r="C134" t="s">
        <v>473</v>
      </c>
      <c r="D134" t="s">
        <v>361</v>
      </c>
      <c r="E134" s="157" t="s">
        <v>472</v>
      </c>
    </row>
    <row r="135" spans="1:5" x14ac:dyDescent="0.2">
      <c r="A135" t="s">
        <v>128</v>
      </c>
      <c r="B135">
        <f>35/1000000</f>
        <v>3.4999999999999997E-5</v>
      </c>
      <c r="C135" t="s">
        <v>129</v>
      </c>
      <c r="D135" t="s">
        <v>361</v>
      </c>
    </row>
    <row r="136" spans="1:5" x14ac:dyDescent="0.2">
      <c r="A136" s="135" t="s">
        <v>373</v>
      </c>
      <c r="B136" s="114"/>
      <c r="C136" s="114"/>
      <c r="D136" s="114"/>
      <c r="E136" s="114"/>
    </row>
    <row r="137" spans="1:5" ht="17" x14ac:dyDescent="0.2">
      <c r="A137" t="s">
        <v>374</v>
      </c>
      <c r="B137" s="156">
        <f>24.4/1000</f>
        <v>2.4399999999999998E-2</v>
      </c>
      <c r="C137" s="156" t="s">
        <v>375</v>
      </c>
      <c r="D137" s="156" t="s">
        <v>138</v>
      </c>
      <c r="E137" s="157" t="s">
        <v>474</v>
      </c>
    </row>
    <row r="138" spans="1:5" x14ac:dyDescent="0.2">
      <c r="A138" t="s">
        <v>376</v>
      </c>
      <c r="B138">
        <f>52.4/1000</f>
        <v>5.2399999999999995E-2</v>
      </c>
      <c r="C138" s="156" t="s">
        <v>375</v>
      </c>
      <c r="D138" s="156" t="s">
        <v>138</v>
      </c>
      <c r="E138" t="s">
        <v>475</v>
      </c>
    </row>
    <row r="139" spans="1:5" x14ac:dyDescent="0.2">
      <c r="A139" t="s">
        <v>377</v>
      </c>
      <c r="B139">
        <f>83/1000</f>
        <v>8.3000000000000004E-2</v>
      </c>
      <c r="C139" s="156" t="s">
        <v>375</v>
      </c>
      <c r="D139" s="156" t="s">
        <v>138</v>
      </c>
      <c r="E139" t="s">
        <v>476</v>
      </c>
    </row>
    <row r="140" spans="1:5" x14ac:dyDescent="0.2">
      <c r="A140" s="137" t="s">
        <v>171</v>
      </c>
      <c r="B140">
        <f>9.72/1000</f>
        <v>9.7200000000000012E-3</v>
      </c>
      <c r="C140" s="156" t="s">
        <v>375</v>
      </c>
      <c r="D140" s="156" t="s">
        <v>138</v>
      </c>
      <c r="E140" t="s">
        <v>477</v>
      </c>
    </row>
    <row r="141" spans="1:5" x14ac:dyDescent="0.2">
      <c r="A141" s="137" t="s">
        <v>167</v>
      </c>
      <c r="B141">
        <f>24/1000</f>
        <v>2.4E-2</v>
      </c>
      <c r="C141" s="156" t="s">
        <v>375</v>
      </c>
      <c r="D141" s="156" t="s">
        <v>138</v>
      </c>
      <c r="E141" t="s">
        <v>478</v>
      </c>
    </row>
    <row r="142" spans="1:5" ht="17" x14ac:dyDescent="0.2">
      <c r="A142" s="137" t="s">
        <v>168</v>
      </c>
      <c r="B142">
        <f>82.9/1000</f>
        <v>8.2900000000000001E-2</v>
      </c>
      <c r="C142" s="156" t="s">
        <v>375</v>
      </c>
      <c r="D142" s="156" t="s">
        <v>138</v>
      </c>
      <c r="E142" s="157" t="s">
        <v>479</v>
      </c>
    </row>
    <row r="143" spans="1:5" ht="17" x14ac:dyDescent="0.2">
      <c r="A143" s="137" t="s">
        <v>165</v>
      </c>
      <c r="B143">
        <f>136/1000</f>
        <v>0.13600000000000001</v>
      </c>
      <c r="C143" s="156" t="s">
        <v>375</v>
      </c>
      <c r="D143" s="156" t="s">
        <v>138</v>
      </c>
      <c r="E143" s="157" t="s">
        <v>479</v>
      </c>
    </row>
    <row r="144" spans="1:5" ht="17" x14ac:dyDescent="0.2">
      <c r="A144" s="137" t="s">
        <v>166</v>
      </c>
      <c r="B144">
        <f>145/1000</f>
        <v>0.14499999999999999</v>
      </c>
      <c r="C144" s="156" t="s">
        <v>375</v>
      </c>
      <c r="D144" s="156" t="s">
        <v>138</v>
      </c>
      <c r="E144" s="157" t="s">
        <v>479</v>
      </c>
    </row>
    <row r="145" spans="1:5" ht="17" x14ac:dyDescent="0.2">
      <c r="A145" s="137" t="s">
        <v>480</v>
      </c>
      <c r="B145">
        <f>16.5/1000</f>
        <v>1.6500000000000001E-2</v>
      </c>
      <c r="C145" s="156" t="s">
        <v>375</v>
      </c>
      <c r="D145" s="156" t="s">
        <v>138</v>
      </c>
      <c r="E145" s="157" t="s">
        <v>482</v>
      </c>
    </row>
    <row r="146" spans="1:5" x14ac:dyDescent="0.2">
      <c r="A146" s="135" t="s">
        <v>378</v>
      </c>
      <c r="B146" s="114"/>
      <c r="C146" s="114"/>
      <c r="D146" s="114"/>
      <c r="E146" s="114"/>
    </row>
    <row r="147" spans="1:5" x14ac:dyDescent="0.2">
      <c r="A147" t="s">
        <v>379</v>
      </c>
      <c r="B147" s="150">
        <f>15/1000</f>
        <v>1.4999999999999999E-2</v>
      </c>
      <c r="C147" t="s">
        <v>380</v>
      </c>
      <c r="D147" s="156" t="s">
        <v>138</v>
      </c>
      <c r="E147" t="s">
        <v>381</v>
      </c>
    </row>
    <row r="148" spans="1:5" x14ac:dyDescent="0.2">
      <c r="A148" t="s">
        <v>382</v>
      </c>
      <c r="B148" s="150">
        <f>8.6/1000</f>
        <v>8.6E-3</v>
      </c>
      <c r="C148" t="s">
        <v>380</v>
      </c>
      <c r="D148" s="156" t="s">
        <v>138</v>
      </c>
      <c r="E148" t="s">
        <v>518</v>
      </c>
    </row>
    <row r="149" spans="1:5" x14ac:dyDescent="0.2">
      <c r="A149" t="s">
        <v>383</v>
      </c>
      <c r="B149" s="150">
        <f>220/1000</f>
        <v>0.22</v>
      </c>
      <c r="C149" t="s">
        <v>380</v>
      </c>
      <c r="D149" s="156" t="s">
        <v>138</v>
      </c>
      <c r="E149" t="s">
        <v>519</v>
      </c>
    </row>
    <row r="150" spans="1:5" x14ac:dyDescent="0.2">
      <c r="A150" t="s">
        <v>384</v>
      </c>
      <c r="B150">
        <f>1.2/1000</f>
        <v>1.1999999999999999E-3</v>
      </c>
      <c r="C150" t="s">
        <v>380</v>
      </c>
      <c r="D150" s="156" t="s">
        <v>138</v>
      </c>
      <c r="E150" t="s">
        <v>520</v>
      </c>
    </row>
    <row r="151" spans="1:5" x14ac:dyDescent="0.2">
      <c r="A151" t="s">
        <v>385</v>
      </c>
      <c r="B151" s="150">
        <f>261/1000</f>
        <v>0.26100000000000001</v>
      </c>
      <c r="C151" t="s">
        <v>380</v>
      </c>
      <c r="D151" s="156" t="s">
        <v>138</v>
      </c>
      <c r="E151" t="s">
        <v>521</v>
      </c>
    </row>
    <row r="152" spans="1:5" x14ac:dyDescent="0.2">
      <c r="A152" t="s">
        <v>386</v>
      </c>
      <c r="B152">
        <f>101/1000</f>
        <v>0.10100000000000001</v>
      </c>
      <c r="C152" t="s">
        <v>380</v>
      </c>
      <c r="D152" s="156" t="s">
        <v>138</v>
      </c>
      <c r="E152" t="s">
        <v>522</v>
      </c>
    </row>
    <row r="153" spans="1:5" x14ac:dyDescent="0.2">
      <c r="A153" t="s">
        <v>387</v>
      </c>
      <c r="B153" s="150">
        <f>6.04/1000</f>
        <v>6.0400000000000002E-3</v>
      </c>
      <c r="C153" t="s">
        <v>380</v>
      </c>
      <c r="D153" s="156" t="s">
        <v>138</v>
      </c>
    </row>
    <row r="154" spans="1:5" x14ac:dyDescent="0.2">
      <c r="A154" t="s">
        <v>388</v>
      </c>
      <c r="B154">
        <f>14.2/1000</f>
        <v>1.4199999999999999E-2</v>
      </c>
      <c r="C154" t="s">
        <v>380</v>
      </c>
      <c r="D154" s="156" t="s">
        <v>138</v>
      </c>
    </row>
    <row r="155" spans="1:5" x14ac:dyDescent="0.2">
      <c r="A155" t="s">
        <v>389</v>
      </c>
      <c r="B155" s="150">
        <f>144/1000</f>
        <v>0.14399999999999999</v>
      </c>
      <c r="C155" t="s">
        <v>380</v>
      </c>
      <c r="D155" s="156" t="s">
        <v>138</v>
      </c>
      <c r="E155" t="s">
        <v>523</v>
      </c>
    </row>
    <row r="156" spans="1:5" x14ac:dyDescent="0.2">
      <c r="A156" t="s">
        <v>390</v>
      </c>
      <c r="B156">
        <f>34.4/1000</f>
        <v>3.44E-2</v>
      </c>
      <c r="C156" t="s">
        <v>380</v>
      </c>
      <c r="D156" s="156" t="s">
        <v>138</v>
      </c>
    </row>
    <row r="157" spans="1:5" x14ac:dyDescent="0.2">
      <c r="A157" t="s">
        <v>391</v>
      </c>
      <c r="B157" s="150">
        <f>89/1000</f>
        <v>8.8999999999999996E-2</v>
      </c>
      <c r="C157" t="s">
        <v>380</v>
      </c>
      <c r="D157" s="156" t="s">
        <v>138</v>
      </c>
      <c r="E157" t="s">
        <v>524</v>
      </c>
    </row>
    <row r="158" spans="1:5" x14ac:dyDescent="0.2">
      <c r="A158" t="s">
        <v>392</v>
      </c>
      <c r="B158" s="150">
        <f>2.93/1000</f>
        <v>2.9300000000000003E-3</v>
      </c>
      <c r="C158" t="s">
        <v>380</v>
      </c>
      <c r="D158" s="156" t="s">
        <v>138</v>
      </c>
      <c r="E158" t="s">
        <v>525</v>
      </c>
    </row>
    <row r="159" spans="1:5" x14ac:dyDescent="0.2">
      <c r="A159" t="s">
        <v>393</v>
      </c>
      <c r="B159" s="150">
        <f>285/1000</f>
        <v>0.28499999999999998</v>
      </c>
      <c r="C159" t="s">
        <v>380</v>
      </c>
      <c r="D159" s="156" t="s">
        <v>138</v>
      </c>
      <c r="E159" t="s">
        <v>526</v>
      </c>
    </row>
    <row r="160" spans="1:5" x14ac:dyDescent="0.2">
      <c r="A160" t="s">
        <v>429</v>
      </c>
      <c r="B160" s="150">
        <f>76/1000</f>
        <v>7.5999999999999998E-2</v>
      </c>
      <c r="C160" t="s">
        <v>380</v>
      </c>
      <c r="D160" s="156" t="s">
        <v>138</v>
      </c>
      <c r="E160" s="156" t="s">
        <v>527</v>
      </c>
    </row>
    <row r="161" spans="1:5" x14ac:dyDescent="0.2">
      <c r="A161" t="s">
        <v>428</v>
      </c>
      <c r="B161" s="150">
        <f>15/1000</f>
        <v>1.4999999999999999E-2</v>
      </c>
      <c r="C161" t="s">
        <v>380</v>
      </c>
      <c r="D161" s="156" t="s">
        <v>138</v>
      </c>
      <c r="E161" s="156" t="s">
        <v>527</v>
      </c>
    </row>
    <row r="162" spans="1:5" x14ac:dyDescent="0.2">
      <c r="A162" t="s">
        <v>394</v>
      </c>
      <c r="B162" s="150">
        <f>24.8/1000</f>
        <v>2.4799999999999999E-2</v>
      </c>
      <c r="C162" t="s">
        <v>380</v>
      </c>
      <c r="D162" s="156" t="s">
        <v>138</v>
      </c>
      <c r="E162" t="s">
        <v>528</v>
      </c>
    </row>
    <row r="163" spans="1:5" x14ac:dyDescent="0.2">
      <c r="A163" t="s">
        <v>430</v>
      </c>
      <c r="B163">
        <f>47.7/1000</f>
        <v>4.7700000000000006E-2</v>
      </c>
      <c r="C163" t="s">
        <v>380</v>
      </c>
      <c r="D163" s="156" t="s">
        <v>138</v>
      </c>
      <c r="E163" s="156" t="s">
        <v>527</v>
      </c>
    </row>
    <row r="169" spans="1:5" x14ac:dyDescent="0.2">
      <c r="A169" s="135" t="s">
        <v>395</v>
      </c>
      <c r="B169" s="158"/>
      <c r="C169" s="114"/>
      <c r="D169" s="159"/>
      <c r="E169" s="114"/>
    </row>
    <row r="170" spans="1:5" x14ac:dyDescent="0.2">
      <c r="A170" t="s">
        <v>396</v>
      </c>
      <c r="B170" s="150">
        <f>209/1000</f>
        <v>0.20899999999999999</v>
      </c>
      <c r="C170" t="s">
        <v>380</v>
      </c>
      <c r="D170" s="156" t="s">
        <v>138</v>
      </c>
      <c r="E170" t="s">
        <v>483</v>
      </c>
    </row>
    <row r="171" spans="1:5" x14ac:dyDescent="0.2">
      <c r="A171" t="s">
        <v>397</v>
      </c>
      <c r="B171" s="150">
        <f>31.7/1000</f>
        <v>3.1699999999999999E-2</v>
      </c>
      <c r="C171" t="s">
        <v>380</v>
      </c>
      <c r="D171" s="156" t="s">
        <v>138</v>
      </c>
      <c r="E171" t="s">
        <v>484</v>
      </c>
    </row>
    <row r="172" spans="1:5" x14ac:dyDescent="0.2">
      <c r="A172" s="135" t="s">
        <v>416</v>
      </c>
      <c r="B172" s="114"/>
      <c r="C172" s="159"/>
      <c r="D172" s="159"/>
      <c r="E172" s="114"/>
    </row>
    <row r="173" spans="1:5" x14ac:dyDescent="0.2">
      <c r="A173" s="137" t="s">
        <v>145</v>
      </c>
      <c r="B173">
        <f>179/1000</f>
        <v>0.17899999999999999</v>
      </c>
      <c r="C173" t="s">
        <v>380</v>
      </c>
      <c r="D173" s="156" t="s">
        <v>138</v>
      </c>
      <c r="E173" t="s">
        <v>506</v>
      </c>
    </row>
    <row r="174" spans="1:5" x14ac:dyDescent="0.2">
      <c r="A174" s="137" t="s">
        <v>146</v>
      </c>
      <c r="B174">
        <f>182/1000</f>
        <v>0.182</v>
      </c>
      <c r="C174" t="s">
        <v>380</v>
      </c>
      <c r="D174" s="156" t="s">
        <v>138</v>
      </c>
      <c r="E174" t="s">
        <v>507</v>
      </c>
    </row>
    <row r="175" spans="1:5" x14ac:dyDescent="0.2">
      <c r="A175" s="137" t="s">
        <v>147</v>
      </c>
      <c r="B175">
        <f>197/1000</f>
        <v>0.19700000000000001</v>
      </c>
      <c r="C175" t="s">
        <v>380</v>
      </c>
      <c r="D175" s="156" t="s">
        <v>138</v>
      </c>
      <c r="E175" t="s">
        <v>506</v>
      </c>
    </row>
    <row r="176" spans="1:5" x14ac:dyDescent="0.2">
      <c r="A176" s="137" t="s">
        <v>148</v>
      </c>
      <c r="B176">
        <f>103/1000</f>
        <v>0.10299999999999999</v>
      </c>
      <c r="C176" t="s">
        <v>380</v>
      </c>
      <c r="D176" s="156" t="s">
        <v>138</v>
      </c>
      <c r="E176" t="s">
        <v>508</v>
      </c>
    </row>
    <row r="177" spans="1:5" x14ac:dyDescent="0.2">
      <c r="A177" s="137" t="s">
        <v>149</v>
      </c>
      <c r="B177">
        <f>44.3/1000</f>
        <v>4.4299999999999999E-2</v>
      </c>
      <c r="C177" t="s">
        <v>380</v>
      </c>
      <c r="D177" s="156" t="s">
        <v>138</v>
      </c>
      <c r="E177" t="s">
        <v>509</v>
      </c>
    </row>
    <row r="178" spans="1:5" x14ac:dyDescent="0.2">
      <c r="A178" s="137" t="s">
        <v>150</v>
      </c>
      <c r="B178">
        <f>115/1000</f>
        <v>0.115</v>
      </c>
      <c r="C178" t="s">
        <v>380</v>
      </c>
      <c r="D178" s="156" t="s">
        <v>138</v>
      </c>
      <c r="E178" t="s">
        <v>510</v>
      </c>
    </row>
    <row r="179" spans="1:5" x14ac:dyDescent="0.2">
      <c r="A179" s="137" t="s">
        <v>151</v>
      </c>
      <c r="B179">
        <f>285/1000</f>
        <v>0.28499999999999998</v>
      </c>
      <c r="C179" t="s">
        <v>380</v>
      </c>
      <c r="D179" s="156" t="s">
        <v>138</v>
      </c>
      <c r="E179" t="s">
        <v>511</v>
      </c>
    </row>
    <row r="180" spans="1:5" x14ac:dyDescent="0.2">
      <c r="A180" s="137" t="s">
        <v>152</v>
      </c>
      <c r="B180">
        <f>232/1000</f>
        <v>0.23200000000000001</v>
      </c>
      <c r="C180" t="s">
        <v>380</v>
      </c>
      <c r="D180" s="156" t="s">
        <v>138</v>
      </c>
      <c r="E180" t="s">
        <v>511</v>
      </c>
    </row>
    <row r="181" spans="1:5" x14ac:dyDescent="0.2">
      <c r="A181" s="137" t="s">
        <v>401</v>
      </c>
      <c r="B181">
        <f>80.2/1000</f>
        <v>8.0200000000000007E-2</v>
      </c>
      <c r="C181" t="s">
        <v>380</v>
      </c>
      <c r="D181" s="156" t="s">
        <v>138</v>
      </c>
      <c r="E181" t="s">
        <v>512</v>
      </c>
    </row>
    <row r="182" spans="1:5" x14ac:dyDescent="0.2">
      <c r="A182" s="137" t="s">
        <v>403</v>
      </c>
      <c r="B182">
        <v>9.0999999999999997E-7</v>
      </c>
      <c r="C182" t="s">
        <v>380</v>
      </c>
      <c r="D182" s="156" t="s">
        <v>138</v>
      </c>
      <c r="E182" t="s">
        <v>513</v>
      </c>
    </row>
    <row r="183" spans="1:5" x14ac:dyDescent="0.2">
      <c r="A183" s="137" t="s">
        <v>404</v>
      </c>
      <c r="B183">
        <v>1.2100000000000001E-6</v>
      </c>
      <c r="C183" t="s">
        <v>380</v>
      </c>
      <c r="D183" s="156" t="s">
        <v>138</v>
      </c>
      <c r="E183" t="s">
        <v>513</v>
      </c>
    </row>
    <row r="184" spans="1:5" x14ac:dyDescent="0.2">
      <c r="A184" s="137" t="s">
        <v>405</v>
      </c>
      <c r="B184">
        <v>2.9999999999999999E-7</v>
      </c>
      <c r="C184" t="s">
        <v>380</v>
      </c>
      <c r="D184" s="156" t="s">
        <v>138</v>
      </c>
      <c r="E184" t="s">
        <v>513</v>
      </c>
    </row>
    <row r="185" spans="1:5" x14ac:dyDescent="0.2">
      <c r="A185" s="137" t="s">
        <v>406</v>
      </c>
      <c r="B185">
        <v>2.2699999999999999E-6</v>
      </c>
      <c r="C185" t="s">
        <v>380</v>
      </c>
      <c r="D185" s="156" t="s">
        <v>138</v>
      </c>
      <c r="E185" t="s">
        <v>513</v>
      </c>
    </row>
    <row r="186" spans="1:5" x14ac:dyDescent="0.2">
      <c r="A186" s="137" t="s">
        <v>153</v>
      </c>
      <c r="B186">
        <f>69.2/1000</f>
        <v>6.9199999999999998E-2</v>
      </c>
      <c r="C186" t="s">
        <v>380</v>
      </c>
      <c r="D186" s="156" t="s">
        <v>138</v>
      </c>
      <c r="E186" t="s">
        <v>512</v>
      </c>
    </row>
    <row r="187" spans="1:5" x14ac:dyDescent="0.2">
      <c r="A187" s="137" t="s">
        <v>154</v>
      </c>
      <c r="B187">
        <f>238/1000</f>
        <v>0.23799999999999999</v>
      </c>
      <c r="C187" t="s">
        <v>380</v>
      </c>
      <c r="D187" s="156" t="s">
        <v>138</v>
      </c>
      <c r="E187" t="s">
        <v>512</v>
      </c>
    </row>
    <row r="188" spans="1:5" x14ac:dyDescent="0.2">
      <c r="A188" s="137" t="s">
        <v>155</v>
      </c>
      <c r="B188">
        <f>260/1000</f>
        <v>0.26</v>
      </c>
      <c r="C188" t="s">
        <v>380</v>
      </c>
      <c r="D188" s="156" t="s">
        <v>138</v>
      </c>
      <c r="E188" t="s">
        <v>512</v>
      </c>
    </row>
    <row r="189" spans="1:5" x14ac:dyDescent="0.2">
      <c r="A189" s="137" t="s">
        <v>156</v>
      </c>
      <c r="B189">
        <f>340/1000</f>
        <v>0.34</v>
      </c>
      <c r="C189" t="s">
        <v>380</v>
      </c>
      <c r="D189" s="156" t="s">
        <v>138</v>
      </c>
      <c r="E189" t="s">
        <v>514</v>
      </c>
    </row>
    <row r="190" spans="1:5" x14ac:dyDescent="0.2">
      <c r="A190" s="137" t="s">
        <v>157</v>
      </c>
      <c r="B190">
        <f>371/1000</f>
        <v>0.371</v>
      </c>
      <c r="C190" t="s">
        <v>380</v>
      </c>
      <c r="D190" s="156" t="s">
        <v>138</v>
      </c>
      <c r="E190" t="s">
        <v>514</v>
      </c>
    </row>
    <row r="191" spans="1:5" x14ac:dyDescent="0.2">
      <c r="A191" s="137"/>
    </row>
    <row r="192" spans="1:5" x14ac:dyDescent="0.2">
      <c r="A192" s="134" t="s">
        <v>417</v>
      </c>
      <c r="B192" s="114"/>
      <c r="C192" s="114"/>
      <c r="D192" s="114"/>
      <c r="E192" s="114"/>
    </row>
    <row r="193" spans="1:5" x14ac:dyDescent="0.2">
      <c r="A193" s="137" t="s">
        <v>407</v>
      </c>
      <c r="B193">
        <v>1.0296000000000001E-3</v>
      </c>
      <c r="C193" t="s">
        <v>380</v>
      </c>
      <c r="D193" s="156" t="s">
        <v>138</v>
      </c>
      <c r="E193" t="s">
        <v>491</v>
      </c>
    </row>
    <row r="194" spans="1:5" x14ac:dyDescent="0.2">
      <c r="A194" s="137" t="s">
        <v>408</v>
      </c>
      <c r="B194">
        <v>1.17E-4</v>
      </c>
      <c r="C194" t="s">
        <v>380</v>
      </c>
      <c r="D194" s="156" t="s">
        <v>138</v>
      </c>
      <c r="E194" t="s">
        <v>491</v>
      </c>
    </row>
    <row r="195" spans="1:5" x14ac:dyDescent="0.2">
      <c r="A195" s="137" t="s">
        <v>409</v>
      </c>
      <c r="B195">
        <v>0.17680000000000001</v>
      </c>
      <c r="C195" t="s">
        <v>380</v>
      </c>
      <c r="D195" s="156" t="s">
        <v>138</v>
      </c>
      <c r="E195" t="s">
        <v>491</v>
      </c>
    </row>
    <row r="196" spans="1:5" x14ac:dyDescent="0.2">
      <c r="A196" s="137" t="s">
        <v>410</v>
      </c>
      <c r="B196">
        <v>1.45</v>
      </c>
      <c r="C196" t="s">
        <v>380</v>
      </c>
      <c r="D196" s="156" t="s">
        <v>138</v>
      </c>
      <c r="E196" t="s">
        <v>490</v>
      </c>
    </row>
    <row r="197" spans="1:5" x14ac:dyDescent="0.2">
      <c r="A197" s="137" t="s">
        <v>411</v>
      </c>
      <c r="B197">
        <f>241/1000</f>
        <v>0.24099999999999999</v>
      </c>
      <c r="C197" t="s">
        <v>380</v>
      </c>
      <c r="D197" t="s">
        <v>415</v>
      </c>
      <c r="E197" t="s">
        <v>492</v>
      </c>
    </row>
    <row r="198" spans="1:5" x14ac:dyDescent="0.2">
      <c r="A198" s="137" t="s">
        <v>412</v>
      </c>
      <c r="B198">
        <f>71.5/1000</f>
        <v>7.1499999999999994E-2</v>
      </c>
      <c r="C198" t="s">
        <v>380</v>
      </c>
      <c r="D198" t="s">
        <v>415</v>
      </c>
      <c r="E198" t="s">
        <v>492</v>
      </c>
    </row>
    <row r="199" spans="1:5" x14ac:dyDescent="0.2">
      <c r="A199" s="137" t="s">
        <v>413</v>
      </c>
      <c r="B199">
        <f>143/1000</f>
        <v>0.14299999999999999</v>
      </c>
      <c r="C199" t="s">
        <v>380</v>
      </c>
      <c r="D199" t="s">
        <v>415</v>
      </c>
      <c r="E199" t="s">
        <v>492</v>
      </c>
    </row>
    <row r="200" spans="1:5" x14ac:dyDescent="0.2">
      <c r="A200" s="137" t="s">
        <v>414</v>
      </c>
      <c r="B200">
        <f>12870/1000</f>
        <v>12.87</v>
      </c>
      <c r="C200" t="s">
        <v>380</v>
      </c>
      <c r="D200" t="s">
        <v>415</v>
      </c>
      <c r="E200" t="s">
        <v>492</v>
      </c>
    </row>
    <row r="201" spans="1:5" x14ac:dyDescent="0.2">
      <c r="A201" s="137" t="s">
        <v>402</v>
      </c>
      <c r="B201">
        <f>415/1000</f>
        <v>0.41499999999999998</v>
      </c>
      <c r="C201" t="s">
        <v>380</v>
      </c>
      <c r="D201" s="156" t="s">
        <v>138</v>
      </c>
      <c r="E201" t="s">
        <v>493</v>
      </c>
    </row>
    <row r="202" spans="1:5" x14ac:dyDescent="0.2">
      <c r="A202" t="s">
        <v>486</v>
      </c>
      <c r="B202">
        <f>301/1000</f>
        <v>0.30099999999999999</v>
      </c>
      <c r="C202" t="s">
        <v>380</v>
      </c>
      <c r="D202" s="156" t="s">
        <v>138</v>
      </c>
      <c r="E202" t="s">
        <v>494</v>
      </c>
    </row>
    <row r="206" spans="1:5" x14ac:dyDescent="0.2">
      <c r="A206" s="135" t="s">
        <v>172</v>
      </c>
      <c r="B206" s="114"/>
      <c r="C206" s="114"/>
      <c r="D206" s="114"/>
    </row>
    <row r="207" spans="1:5" x14ac:dyDescent="0.2">
      <c r="A207" t="s">
        <v>173</v>
      </c>
      <c r="C207">
        <v>100</v>
      </c>
      <c r="D207" t="s">
        <v>174</v>
      </c>
    </row>
    <row r="208" spans="1:5" x14ac:dyDescent="0.2">
      <c r="A208" t="s">
        <v>175</v>
      </c>
      <c r="C208">
        <v>800</v>
      </c>
      <c r="D208" t="s">
        <v>174</v>
      </c>
    </row>
    <row r="209" spans="1:5" x14ac:dyDescent="0.2">
      <c r="A209" t="s">
        <v>176</v>
      </c>
      <c r="C209">
        <v>1500</v>
      </c>
      <c r="D209" t="s">
        <v>174</v>
      </c>
    </row>
    <row r="210" spans="1:5" x14ac:dyDescent="0.2">
      <c r="A210" s="135" t="s">
        <v>177</v>
      </c>
      <c r="B210" s="114"/>
      <c r="C210" s="114"/>
      <c r="D210" s="114"/>
    </row>
    <row r="211" spans="1:5" ht="19" x14ac:dyDescent="0.2">
      <c r="A211" s="150" t="s">
        <v>178</v>
      </c>
      <c r="B211" s="7"/>
      <c r="C211">
        <v>0.73250000000000004</v>
      </c>
      <c r="D211" t="s">
        <v>450</v>
      </c>
      <c r="E211" t="s">
        <v>138</v>
      </c>
    </row>
    <row r="212" spans="1:5" ht="19" x14ac:dyDescent="0.2">
      <c r="A212" s="150" t="s">
        <v>179</v>
      </c>
      <c r="B212" s="7"/>
      <c r="C212">
        <v>0.22</v>
      </c>
      <c r="D212" t="s">
        <v>451</v>
      </c>
      <c r="E212" t="s">
        <v>138</v>
      </c>
    </row>
    <row r="214" spans="1:5" x14ac:dyDescent="0.2">
      <c r="A214" s="287" t="s">
        <v>180</v>
      </c>
      <c r="B214" s="287"/>
      <c r="C214" s="287"/>
      <c r="D214" s="287"/>
      <c r="E214" s="287"/>
    </row>
    <row r="215" spans="1:5" x14ac:dyDescent="0.2">
      <c r="A215" s="150" t="s">
        <v>88</v>
      </c>
      <c r="B215">
        <v>45</v>
      </c>
      <c r="C215" t="s">
        <v>181</v>
      </c>
      <c r="D215">
        <f>B215*0.7646</f>
        <v>34.406999999999996</v>
      </c>
      <c r="E215" t="s">
        <v>182</v>
      </c>
    </row>
    <row r="216" spans="1:5" x14ac:dyDescent="0.2">
      <c r="A216" s="150" t="s">
        <v>91</v>
      </c>
      <c r="B216">
        <v>45</v>
      </c>
      <c r="C216" t="s">
        <v>181</v>
      </c>
      <c r="D216">
        <f>B216*0.7646</f>
        <v>34.406999999999996</v>
      </c>
      <c r="E216" t="s">
        <v>182</v>
      </c>
    </row>
    <row r="217" spans="1:5" x14ac:dyDescent="0.2">
      <c r="A217" s="150" t="s">
        <v>93</v>
      </c>
      <c r="B217">
        <v>35</v>
      </c>
      <c r="C217" t="s">
        <v>181</v>
      </c>
      <c r="D217">
        <f>B217*0.7646</f>
        <v>26.760999999999999</v>
      </c>
      <c r="E217" t="s">
        <v>182</v>
      </c>
    </row>
    <row r="218" spans="1:5" x14ac:dyDescent="0.2">
      <c r="A218" s="150" t="s">
        <v>183</v>
      </c>
      <c r="B218">
        <v>95</v>
      </c>
      <c r="C218" t="s">
        <v>184</v>
      </c>
      <c r="D218">
        <v>95</v>
      </c>
    </row>
    <row r="221" spans="1:5" x14ac:dyDescent="0.2">
      <c r="A221" s="135" t="s">
        <v>343</v>
      </c>
      <c r="B221" s="114"/>
      <c r="C221" s="114" t="s">
        <v>347</v>
      </c>
      <c r="D221" s="114" t="s">
        <v>87</v>
      </c>
      <c r="E221" s="114" t="s">
        <v>28</v>
      </c>
    </row>
    <row r="222" spans="1:5" x14ac:dyDescent="0.2">
      <c r="A222" s="150" t="s">
        <v>345</v>
      </c>
      <c r="C222">
        <f>0.165/1000000</f>
        <v>1.6500000000000001E-7</v>
      </c>
      <c r="D222" t="s">
        <v>243</v>
      </c>
      <c r="E222" s="164" t="s">
        <v>348</v>
      </c>
    </row>
    <row r="223" spans="1:5" x14ac:dyDescent="0.2">
      <c r="A223" s="150" t="s">
        <v>346</v>
      </c>
      <c r="C223">
        <f>0.175/1000000</f>
        <v>1.7499999999999999E-7</v>
      </c>
      <c r="D223" t="s">
        <v>243</v>
      </c>
      <c r="E223" t="s">
        <v>348</v>
      </c>
    </row>
    <row r="224" spans="1:5" x14ac:dyDescent="0.2">
      <c r="A224" s="150" t="s">
        <v>454</v>
      </c>
      <c r="C224">
        <f>0.22/1000000</f>
        <v>2.2000000000000001E-7</v>
      </c>
      <c r="D224" t="s">
        <v>243</v>
      </c>
      <c r="E224" t="s">
        <v>348</v>
      </c>
    </row>
    <row r="226" spans="1:5" x14ac:dyDescent="0.2">
      <c r="A226" s="135" t="s">
        <v>343</v>
      </c>
      <c r="B226" s="114"/>
      <c r="C226" s="114" t="s">
        <v>347</v>
      </c>
      <c r="D226" s="114" t="s">
        <v>87</v>
      </c>
      <c r="E226" s="114" t="s">
        <v>28</v>
      </c>
    </row>
    <row r="227" spans="1:5" x14ac:dyDescent="0.2">
      <c r="A227" t="s">
        <v>315</v>
      </c>
      <c r="C227">
        <f>14.1/1000000</f>
        <v>1.4099999999999999E-5</v>
      </c>
      <c r="D227" t="s">
        <v>349</v>
      </c>
      <c r="E227" t="s">
        <v>350</v>
      </c>
    </row>
    <row r="228" spans="1:5" x14ac:dyDescent="0.2">
      <c r="A228" t="s">
        <v>316</v>
      </c>
      <c r="C228">
        <f>435.3/1000</f>
        <v>0.43530000000000002</v>
      </c>
      <c r="D228" t="s">
        <v>351</v>
      </c>
      <c r="E228" t="s">
        <v>352</v>
      </c>
    </row>
    <row r="230" spans="1:5" x14ac:dyDescent="0.2">
      <c r="A230" s="135" t="s">
        <v>242</v>
      </c>
      <c r="B230" s="135" t="s">
        <v>347</v>
      </c>
      <c r="C230" s="135" t="s">
        <v>87</v>
      </c>
      <c r="D230" s="135" t="s">
        <v>505</v>
      </c>
    </row>
    <row r="231" spans="1:5" x14ac:dyDescent="0.2">
      <c r="A231" s="135" t="s">
        <v>244</v>
      </c>
      <c r="B231" s="114"/>
      <c r="C231" s="285"/>
      <c r="D231" s="285"/>
    </row>
    <row r="232" spans="1:5" x14ac:dyDescent="0.2">
      <c r="A232" t="s">
        <v>248</v>
      </c>
      <c r="B232">
        <f>1.746/1000</f>
        <v>1.7459999999999999E-3</v>
      </c>
      <c r="C232" t="s">
        <v>495</v>
      </c>
      <c r="D232" t="s">
        <v>138</v>
      </c>
    </row>
    <row r="233" spans="1:5" x14ac:dyDescent="0.2">
      <c r="A233" t="s">
        <v>249</v>
      </c>
      <c r="B233">
        <f>2.136/1000</f>
        <v>2.1360000000000003E-3</v>
      </c>
      <c r="C233" t="s">
        <v>495</v>
      </c>
      <c r="D233" t="s">
        <v>138</v>
      </c>
    </row>
    <row r="234" spans="1:5" x14ac:dyDescent="0.2">
      <c r="A234" t="s">
        <v>250</v>
      </c>
      <c r="B234">
        <f>1.502/1000</f>
        <v>1.5020000000000001E-3</v>
      </c>
      <c r="C234" t="s">
        <v>495</v>
      </c>
      <c r="D234" t="s">
        <v>138</v>
      </c>
    </row>
    <row r="235" spans="1:5" x14ac:dyDescent="0.2">
      <c r="A235" t="s">
        <v>251</v>
      </c>
      <c r="B235">
        <f>1.142/1000</f>
        <v>1.142E-3</v>
      </c>
      <c r="C235" t="s">
        <v>495</v>
      </c>
      <c r="D235" t="s">
        <v>138</v>
      </c>
    </row>
    <row r="236" spans="1:5" x14ac:dyDescent="0.2">
      <c r="A236" t="s">
        <v>252</v>
      </c>
      <c r="B236">
        <f>1.499/1000</f>
        <v>1.4990000000000001E-3</v>
      </c>
      <c r="C236" t="s">
        <v>496</v>
      </c>
      <c r="D236" t="s">
        <v>138</v>
      </c>
    </row>
    <row r="237" spans="1:5" x14ac:dyDescent="0.2">
      <c r="A237" t="s">
        <v>253</v>
      </c>
      <c r="B237">
        <f>2.035/1000</f>
        <v>2.0350000000000004E-3</v>
      </c>
      <c r="C237" t="s">
        <v>496</v>
      </c>
      <c r="D237" t="s">
        <v>138</v>
      </c>
    </row>
    <row r="238" spans="1:5" x14ac:dyDescent="0.2">
      <c r="A238" t="s">
        <v>256</v>
      </c>
      <c r="B238">
        <f>0.261/1000</f>
        <v>2.61E-4</v>
      </c>
      <c r="C238" t="s">
        <v>497</v>
      </c>
      <c r="D238" t="s">
        <v>138</v>
      </c>
    </row>
    <row r="239" spans="1:5" x14ac:dyDescent="0.2">
      <c r="A239" t="s">
        <v>255</v>
      </c>
      <c r="B239">
        <f>0.569/1000</f>
        <v>5.6899999999999995E-4</v>
      </c>
      <c r="C239" t="s">
        <v>497</v>
      </c>
      <c r="D239" t="s">
        <v>138</v>
      </c>
    </row>
    <row r="240" spans="1:5" x14ac:dyDescent="0.2">
      <c r="A240" t="s">
        <v>254</v>
      </c>
      <c r="B240">
        <f>0.488/1000</f>
        <v>4.8799999999999999E-4</v>
      </c>
      <c r="C240" t="s">
        <v>497</v>
      </c>
      <c r="D240" t="s">
        <v>138</v>
      </c>
    </row>
    <row r="241" spans="1:4" x14ac:dyDescent="0.2">
      <c r="A241" t="s">
        <v>271</v>
      </c>
      <c r="B241">
        <f>0.36/1000</f>
        <v>3.5999999999999997E-4</v>
      </c>
      <c r="C241" t="s">
        <v>497</v>
      </c>
      <c r="D241" t="s">
        <v>138</v>
      </c>
    </row>
    <row r="242" spans="1:4" x14ac:dyDescent="0.2">
      <c r="A242" t="s">
        <v>272</v>
      </c>
      <c r="B242">
        <f>0.293/1000</f>
        <v>2.9299999999999997E-4</v>
      </c>
      <c r="C242" t="s">
        <v>497</v>
      </c>
      <c r="D242" t="s">
        <v>138</v>
      </c>
    </row>
    <row r="243" spans="1:4" x14ac:dyDescent="0.2">
      <c r="A243" t="s">
        <v>273</v>
      </c>
      <c r="B243">
        <f>0.28/1000</f>
        <v>2.8000000000000003E-4</v>
      </c>
      <c r="C243" t="s">
        <v>497</v>
      </c>
      <c r="D243" t="s">
        <v>138</v>
      </c>
    </row>
    <row r="245" spans="1:4" x14ac:dyDescent="0.2">
      <c r="A245" s="135" t="s">
        <v>257</v>
      </c>
      <c r="B245" s="114"/>
      <c r="C245" s="285"/>
      <c r="D245" s="285"/>
    </row>
    <row r="246" spans="1:4" x14ac:dyDescent="0.2">
      <c r="A246" t="s">
        <v>270</v>
      </c>
      <c r="B246">
        <f>0.147/1000</f>
        <v>1.47E-4</v>
      </c>
      <c r="C246" t="s">
        <v>399</v>
      </c>
      <c r="D246" t="s">
        <v>138</v>
      </c>
    </row>
    <row r="247" spans="1:4" x14ac:dyDescent="0.2">
      <c r="A247" t="s">
        <v>269</v>
      </c>
      <c r="B247">
        <f>1.778/1000</f>
        <v>1.7780000000000001E-3</v>
      </c>
      <c r="C247" t="s">
        <v>499</v>
      </c>
      <c r="D247" t="s">
        <v>138</v>
      </c>
    </row>
    <row r="248" spans="1:4" x14ac:dyDescent="0.2">
      <c r="A248" t="s">
        <v>268</v>
      </c>
      <c r="B248">
        <f>1.528/1000</f>
        <v>1.5280000000000001E-3</v>
      </c>
      <c r="C248" t="s">
        <v>499</v>
      </c>
      <c r="D248" t="s">
        <v>138</v>
      </c>
    </row>
    <row r="249" spans="1:4" x14ac:dyDescent="0.2">
      <c r="A249" t="s">
        <v>267</v>
      </c>
      <c r="B249">
        <f>0.013/1000</f>
        <v>1.2999999999999999E-5</v>
      </c>
      <c r="C249" t="s">
        <v>499</v>
      </c>
      <c r="D249" t="s">
        <v>138</v>
      </c>
    </row>
    <row r="250" spans="1:4" x14ac:dyDescent="0.2">
      <c r="A250" t="s">
        <v>266</v>
      </c>
      <c r="B250">
        <f>0.258/1000</f>
        <v>2.5799999999999998E-4</v>
      </c>
      <c r="C250" t="s">
        <v>499</v>
      </c>
      <c r="D250" t="s">
        <v>138</v>
      </c>
    </row>
    <row r="251" spans="1:4" x14ac:dyDescent="0.2">
      <c r="A251" t="s">
        <v>265</v>
      </c>
      <c r="B251">
        <f>0.066/1000</f>
        <v>6.6000000000000005E-5</v>
      </c>
      <c r="C251" t="s">
        <v>500</v>
      </c>
      <c r="D251" t="s">
        <v>138</v>
      </c>
    </row>
    <row r="252" spans="1:4" x14ac:dyDescent="0.2">
      <c r="A252" t="s">
        <v>264</v>
      </c>
      <c r="B252">
        <f>0.098/1000</f>
        <v>9.800000000000001E-5</v>
      </c>
      <c r="C252" t="s">
        <v>500</v>
      </c>
      <c r="D252" t="s">
        <v>138</v>
      </c>
    </row>
    <row r="253" spans="1:4" x14ac:dyDescent="0.2">
      <c r="A253" t="s">
        <v>263</v>
      </c>
      <c r="B253">
        <f>0.011/1000</f>
        <v>1.1E-5</v>
      </c>
      <c r="C253" t="s">
        <v>501</v>
      </c>
      <c r="D253" t="s">
        <v>138</v>
      </c>
    </row>
    <row r="254" spans="1:4" x14ac:dyDescent="0.2">
      <c r="A254" t="s">
        <v>258</v>
      </c>
      <c r="B254">
        <f>0.621/1000</f>
        <v>6.2100000000000002E-4</v>
      </c>
      <c r="C254" t="s">
        <v>500</v>
      </c>
      <c r="D254" t="s">
        <v>138</v>
      </c>
    </row>
    <row r="255" spans="1:4" x14ac:dyDescent="0.2">
      <c r="A255" t="s">
        <v>259</v>
      </c>
      <c r="B255">
        <f>3.317/1000</f>
        <v>3.3170000000000001E-3</v>
      </c>
      <c r="C255" t="s">
        <v>502</v>
      </c>
      <c r="D255" t="s">
        <v>138</v>
      </c>
    </row>
    <row r="256" spans="1:4" x14ac:dyDescent="0.2">
      <c r="A256" t="s">
        <v>260</v>
      </c>
      <c r="B256">
        <f>0.405/1000</f>
        <v>4.0500000000000003E-4</v>
      </c>
      <c r="C256" t="s">
        <v>502</v>
      </c>
      <c r="D256" t="s">
        <v>138</v>
      </c>
    </row>
    <row r="257" spans="1:4" x14ac:dyDescent="0.2">
      <c r="A257" t="s">
        <v>261</v>
      </c>
      <c r="B257">
        <f>0.954/1000</f>
        <v>9.5399999999999999E-4</v>
      </c>
      <c r="C257" t="s">
        <v>502</v>
      </c>
      <c r="D257" t="s">
        <v>138</v>
      </c>
    </row>
    <row r="258" spans="1:4" x14ac:dyDescent="0.2">
      <c r="A258" t="s">
        <v>262</v>
      </c>
      <c r="B258">
        <f>0.134/1000</f>
        <v>1.34E-4</v>
      </c>
      <c r="C258" t="s">
        <v>503</v>
      </c>
      <c r="D258" t="s">
        <v>138</v>
      </c>
    </row>
    <row r="261" spans="1:4" x14ac:dyDescent="0.2">
      <c r="A261" s="135" t="s">
        <v>245</v>
      </c>
      <c r="B261" s="114"/>
      <c r="C261" s="285"/>
      <c r="D261" s="285"/>
    </row>
    <row r="262" spans="1:4" x14ac:dyDescent="0.2">
      <c r="A262" t="s">
        <v>281</v>
      </c>
      <c r="B262">
        <f>0.165/1000</f>
        <v>1.65E-4</v>
      </c>
      <c r="C262" t="s">
        <v>496</v>
      </c>
      <c r="D262" t="s">
        <v>138</v>
      </c>
    </row>
    <row r="263" spans="1:4" x14ac:dyDescent="0.2">
      <c r="A263" t="s">
        <v>282</v>
      </c>
      <c r="B263">
        <f>10.959/1000</f>
        <v>1.0959E-2</v>
      </c>
      <c r="C263" t="s">
        <v>496</v>
      </c>
      <c r="D263" t="s">
        <v>138</v>
      </c>
    </row>
    <row r="264" spans="1:4" x14ac:dyDescent="0.2">
      <c r="A264" t="s">
        <v>283</v>
      </c>
      <c r="B264">
        <f>2.476/1000</f>
        <v>2.4759999999999999E-3</v>
      </c>
      <c r="C264" t="s">
        <v>496</v>
      </c>
      <c r="D264" t="s">
        <v>138</v>
      </c>
    </row>
    <row r="265" spans="1:4" x14ac:dyDescent="0.2">
      <c r="A265" t="s">
        <v>284</v>
      </c>
      <c r="B265">
        <f>1.754/1000</f>
        <v>1.7539999999999999E-3</v>
      </c>
      <c r="C265" t="s">
        <v>496</v>
      </c>
      <c r="D265" t="s">
        <v>138</v>
      </c>
    </row>
    <row r="266" spans="1:4" x14ac:dyDescent="0.2">
      <c r="A266" t="s">
        <v>287</v>
      </c>
      <c r="B266">
        <f>1.316/1000</f>
        <v>1.3160000000000001E-3</v>
      </c>
      <c r="C266" t="s">
        <v>496</v>
      </c>
      <c r="D266" t="s">
        <v>138</v>
      </c>
    </row>
    <row r="267" spans="1:4" x14ac:dyDescent="0.2">
      <c r="A267" t="s">
        <v>288</v>
      </c>
      <c r="B267">
        <f>0.981/1000</f>
        <v>9.8099999999999988E-4</v>
      </c>
      <c r="C267" t="s">
        <v>496</v>
      </c>
      <c r="D267" t="s">
        <v>138</v>
      </c>
    </row>
    <row r="268" spans="1:4" x14ac:dyDescent="0.2">
      <c r="A268" t="s">
        <v>285</v>
      </c>
      <c r="B268">
        <f>0.334/1000</f>
        <v>3.3400000000000004E-4</v>
      </c>
      <c r="C268" t="s">
        <v>496</v>
      </c>
      <c r="D268" t="s">
        <v>138</v>
      </c>
    </row>
    <row r="269" spans="1:4" x14ac:dyDescent="0.2">
      <c r="A269" t="s">
        <v>286</v>
      </c>
      <c r="B269">
        <f>2.057/1000</f>
        <v>2.0569999999999998E-3</v>
      </c>
      <c r="C269" t="s">
        <v>496</v>
      </c>
      <c r="D269" t="s">
        <v>138</v>
      </c>
    </row>
    <row r="270" spans="1:4" x14ac:dyDescent="0.2">
      <c r="A270" t="s">
        <v>289</v>
      </c>
      <c r="B270">
        <f>3.852/1000</f>
        <v>3.852E-3</v>
      </c>
      <c r="C270" t="s">
        <v>496</v>
      </c>
      <c r="D270" t="s">
        <v>138</v>
      </c>
    </row>
    <row r="271" spans="1:4" ht="17" x14ac:dyDescent="0.2">
      <c r="A271" s="148" t="s">
        <v>290</v>
      </c>
      <c r="B271">
        <f>11.437/1000</f>
        <v>1.1436999999999999E-2</v>
      </c>
      <c r="C271" t="s">
        <v>496</v>
      </c>
      <c r="D271" t="s">
        <v>138</v>
      </c>
    </row>
    <row r="273" spans="1:5" x14ac:dyDescent="0.2">
      <c r="A273" s="135" t="s">
        <v>291</v>
      </c>
      <c r="B273" s="114"/>
      <c r="C273" s="285"/>
      <c r="D273" s="285"/>
    </row>
    <row r="274" spans="1:5" x14ac:dyDescent="0.2">
      <c r="A274" t="s">
        <v>292</v>
      </c>
      <c r="B274">
        <f>0.764/1000</f>
        <v>7.6400000000000003E-4</v>
      </c>
      <c r="C274" t="s">
        <v>504</v>
      </c>
      <c r="D274" t="s">
        <v>138</v>
      </c>
    </row>
    <row r="275" spans="1:5" x14ac:dyDescent="0.2">
      <c r="A275" t="s">
        <v>293</v>
      </c>
      <c r="B275">
        <f>1.923/1000</f>
        <v>1.923E-3</v>
      </c>
      <c r="C275" t="s">
        <v>504</v>
      </c>
      <c r="D275" t="s">
        <v>138</v>
      </c>
    </row>
    <row r="276" spans="1:5" x14ac:dyDescent="0.2">
      <c r="A276" t="s">
        <v>294</v>
      </c>
      <c r="B276">
        <f>0.91/1000</f>
        <v>9.1E-4</v>
      </c>
      <c r="C276" t="s">
        <v>504</v>
      </c>
      <c r="D276" t="s">
        <v>138</v>
      </c>
    </row>
    <row r="277" spans="1:5" x14ac:dyDescent="0.2">
      <c r="A277" t="s">
        <v>295</v>
      </c>
      <c r="B277">
        <f>2.891/1000</f>
        <v>2.8909999999999999E-3</v>
      </c>
      <c r="C277" t="s">
        <v>504</v>
      </c>
      <c r="D277" t="s">
        <v>138</v>
      </c>
    </row>
    <row r="278" spans="1:5" ht="17" x14ac:dyDescent="0.2">
      <c r="A278" s="148" t="s">
        <v>298</v>
      </c>
      <c r="B278">
        <f>2.25/1000</f>
        <v>2.2499999999999998E-3</v>
      </c>
      <c r="C278" t="s">
        <v>504</v>
      </c>
      <c r="D278" t="s">
        <v>138</v>
      </c>
    </row>
    <row r="279" spans="1:5" x14ac:dyDescent="0.2">
      <c r="A279" t="s">
        <v>296</v>
      </c>
      <c r="B279">
        <f>1.7/1000</f>
        <v>1.6999999999999999E-3</v>
      </c>
      <c r="C279" t="s">
        <v>504</v>
      </c>
      <c r="D279" t="s">
        <v>138</v>
      </c>
    </row>
    <row r="280" spans="1:5" x14ac:dyDescent="0.2">
      <c r="A280" t="s">
        <v>297</v>
      </c>
      <c r="B280">
        <f>6.11/1000</f>
        <v>6.11E-3</v>
      </c>
      <c r="C280" t="s">
        <v>504</v>
      </c>
      <c r="D280" t="s">
        <v>138</v>
      </c>
    </row>
    <row r="281" spans="1:5" x14ac:dyDescent="0.2">
      <c r="A281" t="s">
        <v>313</v>
      </c>
      <c r="B281">
        <f>1.92/1000</f>
        <v>1.9199999999999998E-3</v>
      </c>
      <c r="C281" t="s">
        <v>504</v>
      </c>
      <c r="D281" t="s">
        <v>138</v>
      </c>
    </row>
    <row r="283" spans="1:5" x14ac:dyDescent="0.2">
      <c r="A283" s="135" t="s">
        <v>247</v>
      </c>
      <c r="B283" s="114"/>
      <c r="C283" s="285"/>
      <c r="D283" s="285"/>
    </row>
    <row r="284" spans="1:5" ht="26" customHeight="1" x14ac:dyDescent="0.2">
      <c r="A284" t="s">
        <v>554</v>
      </c>
      <c r="B284">
        <v>3.7060000000000001E-4</v>
      </c>
      <c r="C284" t="s">
        <v>555</v>
      </c>
      <c r="D284" s="167" t="s">
        <v>557</v>
      </c>
      <c r="E284" s="168" t="s">
        <v>556</v>
      </c>
    </row>
    <row r="285" spans="1:5" x14ac:dyDescent="0.2">
      <c r="A285" t="s">
        <v>558</v>
      </c>
      <c r="B285">
        <v>1.596E-5</v>
      </c>
      <c r="C285" t="s">
        <v>559</v>
      </c>
      <c r="D285" t="s">
        <v>138</v>
      </c>
      <c r="E285" t="s">
        <v>560</v>
      </c>
    </row>
    <row r="286" spans="1:5" x14ac:dyDescent="0.2">
      <c r="A286" t="s">
        <v>562</v>
      </c>
      <c r="B286">
        <f>0.00057</f>
        <v>5.6999999999999998E-4</v>
      </c>
      <c r="C286" t="s">
        <v>498</v>
      </c>
      <c r="D286" t="s">
        <v>138</v>
      </c>
      <c r="E286" t="s">
        <v>561</v>
      </c>
    </row>
  </sheetData>
  <sheetProtection algorithmName="SHA-512" hashValue="ASqYJn6OCjmlyR5n8XtKVpflznhBbHPSNCF8d2daaYG2LBBMPo1d8YJYlB/aqrcTBr+juRzhBx+qk3wgvM3CCA==" saltValue="raZ4iy2WNs3JSDu8RO64aw==" spinCount="100000" sheet="1" objects="1" scenarios="1"/>
  <mergeCells count="7">
    <mergeCell ref="C273:D273"/>
    <mergeCell ref="C283:D283"/>
    <mergeCell ref="A101:J101"/>
    <mergeCell ref="A214:E214"/>
    <mergeCell ref="C231:D231"/>
    <mergeCell ref="C245:D245"/>
    <mergeCell ref="C261:D261"/>
  </mergeCells>
  <phoneticPr fontId="19" type="noConversion"/>
  <conditionalFormatting sqref="B211:B212">
    <cfRule type="containsBlanks" dxfId="0" priority="1">
      <formula>LEN(TRIM(B211))=0</formula>
    </cfRule>
  </conditionalFormatting>
  <hyperlinks>
    <hyperlink ref="E82" r:id="rId1" display="https://www.anses.fr/fr/system/files/NUT2014SA0234Ra.pdf" xr:uid="{B2FDFB94-3FF8-C44C-84B0-A808AA25B7A8}"/>
    <hyperlink ref="E105" r:id="rId2" display="https://bilans-ges.ademe.fr/documentation/UPLOAD_DOC_FR/index.htm?prg.htm" xr:uid="{0EAE0720-86AF-9649-A1E0-5EF4CDECE316}"/>
    <hyperlink ref="G19" r:id="rId3" tooltip="URL d'origine : https://www.legisquebec.gouv.qc.ca/fr/document/rc/Q-2,%20r.%2015. Cliquez ou appuyez si vous faites confiance à ce lien." display="https://can01.safelinks.protection.outlook.com/?url=https%3A%2F%2Fwww.legisquebec.gouv.qc.ca%2Ffr%2Fdocument%2Frc%2FQ-2%2C%2520r.%252015&amp;data=05%7C02%7Cybenbelaid%40etu.uqac.ca%7C82af8c63f39f40aaec3708dc0e2a327b%7Cc97978b1bd4c44b59bbb20215efdf611%7C0%7C0%7C638400821605827707%7CUnknown%7CTWFpbGZsb3d8eyJWIjoiMC4wLjAwMDAiLCJQIjoiV2luMzIiLCJBTiI6Ik1haWwiLCJXVCI6Mn0%3D%7C3000%7C%7C%7C&amp;sdata=lL5%2Bw2gdQ38ZkaFmqKkkltJkKzbTiJ1IhEooZKcJ8kw%3D&amp;reserved=0" xr:uid="{F378DB1D-91B1-A64D-B321-F1DF0D9AA287}"/>
    <hyperlink ref="E100" r:id="rId4" xr:uid="{05AFAC7C-9C7F-7D4C-9144-4182B32D6B4A}"/>
    <hyperlink ref="D112" r:id="rId5" display="https://c.environmentalpaper.org/individual.html" xr:uid="{82707DCE-1600-064C-A29E-FB1830191B15}"/>
    <hyperlink ref="D113" r:id="rId6" display="https://c.environmentalpaper.org/individual.html" xr:uid="{1B0AADBC-A10B-C246-B2CF-68E2F38A80D0}"/>
    <hyperlink ref="E222" r:id="rId7" xr:uid="{A3F6BDC4-B20C-7D4C-97CE-6E5A494218B0}"/>
  </hyperlinks>
  <pageMargins left="0.7" right="0.7" top="0.75" bottom="0.75" header="0.3" footer="0.3"/>
  <legacyDrawing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1E00DB6071AEE458210F163E1F151C1" ma:contentTypeVersion="19" ma:contentTypeDescription="Crée un document." ma:contentTypeScope="" ma:versionID="d8224534212015017f490c8e849f63fe">
  <xsd:schema xmlns:xsd="http://www.w3.org/2001/XMLSchema" xmlns:xs="http://www.w3.org/2001/XMLSchema" xmlns:p="http://schemas.microsoft.com/office/2006/metadata/properties" xmlns:ns2="9a825759-e214-4294-9415-8c9372e9bad4" xmlns:ns3="0b8a2f8d-f4d4-4ffd-8b82-2f0a076be6a0" targetNamespace="http://schemas.microsoft.com/office/2006/metadata/properties" ma:root="true" ma:fieldsID="de5c90f652bc8fb4046142cb0976c2e3" ns2:_="" ns3:_="">
    <xsd:import namespace="9a825759-e214-4294-9415-8c9372e9bad4"/>
    <xsd:import namespace="0b8a2f8d-f4d4-4ffd-8b82-2f0a076be6a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_Flow_SignoffStatu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825759-e214-4294-9415-8c9372e9ba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67add622-2492-423d-a7ff-940be094e362"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État de validation" ma:internalName="_x00c9_tat_x0020_de_x0020_validation">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b8a2f8d-f4d4-4ffd-8b82-2f0a076be6a0" elementFormDefault="qualified">
    <xsd:import namespace="http://schemas.microsoft.com/office/2006/documentManagement/types"/>
    <xsd:import namespace="http://schemas.microsoft.com/office/infopath/2007/PartnerControls"/>
    <xsd:element name="SharedWithUsers" ma:index="15"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af3d3f5a-d7c5-44d8-a610-fef7123918f0}" ma:internalName="TaxCatchAll" ma:showField="CatchAllData" ma:web="0b8a2f8d-f4d4-4ffd-8b82-2f0a076be6a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9D6477-AA23-4712-AB7A-95E60C5620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825759-e214-4294-9415-8c9372e9bad4"/>
    <ds:schemaRef ds:uri="0b8a2f8d-f4d4-4ffd-8b82-2f0a076be6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F8AE4F-4705-4EE4-9730-4CE70A5060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8</vt:i4>
      </vt:variant>
      <vt:variant>
        <vt:lpstr>Plages nommées</vt:lpstr>
      </vt:variant>
      <vt:variant>
        <vt:i4>4</vt:i4>
      </vt:variant>
    </vt:vector>
  </HeadingPairs>
  <TitlesOfParts>
    <vt:vector size="12" baseType="lpstr">
      <vt:lpstr>Introduction</vt:lpstr>
      <vt:lpstr>Identifiez-vous</vt:lpstr>
      <vt:lpstr>Sommaires des émissions</vt:lpstr>
      <vt:lpstr>Calculateur Général</vt:lpstr>
      <vt:lpstr>Calculateur Plein Air</vt:lpstr>
      <vt:lpstr>Calculateur Restaurant</vt:lpstr>
      <vt:lpstr>Calculateur hébergement</vt:lpstr>
      <vt:lpstr>Références</vt:lpstr>
      <vt:lpstr>matrix_refri</vt:lpstr>
      <vt:lpstr>Matrix_véhicule</vt:lpstr>
      <vt:lpstr>Refrigerant</vt:lpstr>
      <vt:lpstr>Véhicule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YASMIN-IMENE BENBELAID</dc:creator>
  <cp:lastModifiedBy>Geneviève Turner</cp:lastModifiedBy>
  <dcterms:created xsi:type="dcterms:W3CDTF">2024-01-04T16:48:17Z</dcterms:created>
  <dcterms:modified xsi:type="dcterms:W3CDTF">2024-06-07T14:24:28Z</dcterms:modified>
</cp:coreProperties>
</file>